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\GoogleDrive\KanataLakesGolfClub\ClubLink\KGPC Planning\Compatibility\"/>
    </mc:Choice>
  </mc:AlternateContent>
  <bookViews>
    <workbookView xWindow="0" yWindow="0" windowWidth="22680" windowHeight="12780" firstSheet="2" activeTab="6"/>
  </bookViews>
  <sheets>
    <sheet name="BvrBrk Density" sheetId="7" r:id="rId1"/>
    <sheet name=" Camp Lands Density" sheetId="8" r:id="rId2"/>
    <sheet name="Yard Size Compare" sheetId="13" r:id="rId3"/>
    <sheet name="Size Compare" sheetId="11" r:id="rId4"/>
    <sheet name="Setbacks" sheetId="5" r:id="rId5"/>
    <sheet name="Interior dimensions" sheetId="10" r:id="rId6"/>
    <sheet name="Setback summary" sheetId="9" r:id="rId7"/>
  </sheets>
  <definedNames>
    <definedName name="BvrCrbLot">#REF!</definedName>
    <definedName name="dwellings">' Camp Lands Density'!$B$69</definedName>
    <definedName name="EleSchSz">#REF!</definedName>
    <definedName name="ft2m">Setbacks!$E$51</definedName>
    <definedName name="Hct2Acr">'BvrBrk Density'!$F$2</definedName>
    <definedName name="Hct2sqm">'BvrBrk Density'!$H$2</definedName>
    <definedName name="Hectr2SqM">#REF!</definedName>
    <definedName name="HghScSz">#REF!</definedName>
    <definedName name="Hs2Es">#REF!</definedName>
    <definedName name="KLForDensity">' Camp Lands Density'!$I$54</definedName>
    <definedName name="M2Ft">#REF!</definedName>
    <definedName name="mRainHr">#REF!</definedName>
    <definedName name="Scale">#REF!</definedName>
    <definedName name="SF_1">#REF!</definedName>
    <definedName name="SF_2">#REF!</definedName>
    <definedName name="sqm2sqft">'Interior dimensions'!$Y$3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1" l="1"/>
  <c r="F36" i="11"/>
  <c r="F36" i="13"/>
  <c r="F35" i="13"/>
  <c r="F34" i="13"/>
  <c r="K47" i="7"/>
  <c r="G46" i="7"/>
  <c r="G45" i="7"/>
  <c r="G44" i="7"/>
  <c r="F47" i="7"/>
  <c r="N31" i="11" l="1"/>
  <c r="N30" i="11"/>
  <c r="M31" i="11"/>
  <c r="M30" i="11"/>
  <c r="F56" i="13"/>
  <c r="D56" i="13"/>
  <c r="F55" i="13"/>
  <c r="D55" i="13"/>
  <c r="E50" i="13"/>
  <c r="D50" i="13"/>
  <c r="E49" i="13"/>
  <c r="D49" i="13"/>
  <c r="E48" i="13"/>
  <c r="D48" i="13"/>
  <c r="E54" i="13"/>
  <c r="E40" i="13"/>
  <c r="F42" i="13"/>
  <c r="D42" i="13"/>
  <c r="F41" i="13"/>
  <c r="D41" i="13"/>
  <c r="F40" i="13"/>
  <c r="D40" i="13"/>
  <c r="E36" i="13"/>
  <c r="D36" i="13"/>
  <c r="E35" i="13"/>
  <c r="D35" i="13"/>
  <c r="E34" i="13"/>
  <c r="D34" i="13"/>
  <c r="H18" i="13"/>
  <c r="G18" i="13"/>
  <c r="F18" i="13"/>
  <c r="E18" i="13"/>
  <c r="H17" i="13"/>
  <c r="G17" i="13"/>
  <c r="F17" i="13"/>
  <c r="E17" i="13"/>
  <c r="H15" i="13"/>
  <c r="G15" i="13"/>
  <c r="F15" i="13"/>
  <c r="E15" i="13"/>
  <c r="H14" i="13"/>
  <c r="G14" i="13"/>
  <c r="F14" i="13"/>
  <c r="E14" i="13"/>
  <c r="H13" i="13"/>
  <c r="G13" i="13"/>
  <c r="F13" i="13"/>
  <c r="E13" i="13"/>
  <c r="H12" i="13"/>
  <c r="G12" i="13"/>
  <c r="F12" i="13"/>
  <c r="E12" i="13"/>
  <c r="H7" i="13"/>
  <c r="F7" i="13"/>
  <c r="E7" i="13"/>
  <c r="H6" i="13"/>
  <c r="G6" i="13"/>
  <c r="F6" i="13"/>
  <c r="E6" i="13"/>
  <c r="H5" i="13"/>
  <c r="G5" i="13"/>
  <c r="F5" i="13"/>
  <c r="E5" i="13"/>
  <c r="X16" i="5"/>
  <c r="X14" i="5"/>
  <c r="S14" i="5"/>
  <c r="H6" i="11"/>
  <c r="X17" i="5"/>
  <c r="X10" i="5"/>
  <c r="H12" i="11" s="1"/>
  <c r="I12" i="11" s="1"/>
  <c r="G6" i="11"/>
  <c r="G29" i="11" s="1"/>
  <c r="R7" i="5"/>
  <c r="G7" i="13" s="1"/>
  <c r="S7" i="5"/>
  <c r="E7" i="5"/>
  <c r="S4" i="5"/>
  <c r="X4" i="5"/>
  <c r="R4" i="5"/>
  <c r="M25" i="10"/>
  <c r="Q25" i="10"/>
  <c r="E31" i="11"/>
  <c r="G30" i="11"/>
  <c r="F30" i="11"/>
  <c r="E30" i="11"/>
  <c r="E29" i="11"/>
  <c r="G25" i="11"/>
  <c r="E25" i="11"/>
  <c r="G24" i="11"/>
  <c r="F24" i="11"/>
  <c r="E24" i="11"/>
  <c r="F23" i="11"/>
  <c r="E23" i="11"/>
  <c r="H17" i="11"/>
  <c r="H25" i="11" s="1"/>
  <c r="G18" i="11"/>
  <c r="G31" i="11" s="1"/>
  <c r="G17" i="11"/>
  <c r="E18" i="11"/>
  <c r="E17" i="11"/>
  <c r="H15" i="11"/>
  <c r="H30" i="11" s="1"/>
  <c r="H14" i="11"/>
  <c r="H13" i="11"/>
  <c r="G15" i="11"/>
  <c r="G14" i="11"/>
  <c r="G13" i="11"/>
  <c r="G12" i="11"/>
  <c r="F5" i="11"/>
  <c r="F7" i="11"/>
  <c r="F4" i="11"/>
  <c r="F15" i="11"/>
  <c r="F14" i="11"/>
  <c r="F13" i="11"/>
  <c r="F12" i="11"/>
  <c r="E15" i="11"/>
  <c r="E14" i="11"/>
  <c r="E13" i="11"/>
  <c r="E12" i="11"/>
  <c r="H5" i="11"/>
  <c r="H7" i="11"/>
  <c r="G7" i="11"/>
  <c r="G5" i="11"/>
  <c r="G4" i="11"/>
  <c r="G23" i="11" s="1"/>
  <c r="E7" i="11"/>
  <c r="E6" i="11"/>
  <c r="E5" i="11"/>
  <c r="E4" i="11"/>
  <c r="S19" i="10"/>
  <c r="R19" i="10"/>
  <c r="S15" i="10"/>
  <c r="R15" i="10"/>
  <c r="U17" i="10"/>
  <c r="V17" i="10" s="1"/>
  <c r="U16" i="10"/>
  <c r="V16" i="10" s="1"/>
  <c r="U15" i="10"/>
  <c r="W10" i="5"/>
  <c r="U10" i="5"/>
  <c r="T10" i="5"/>
  <c r="S10" i="5"/>
  <c r="N10" i="5"/>
  <c r="K10" i="5"/>
  <c r="J10" i="5"/>
  <c r="F10" i="5"/>
  <c r="U20" i="10"/>
  <c r="V20" i="10" s="1"/>
  <c r="S20" i="10"/>
  <c r="R20" i="10"/>
  <c r="U13" i="10"/>
  <c r="V13" i="10" s="1"/>
  <c r="R13" i="10"/>
  <c r="V14" i="10"/>
  <c r="U14" i="10"/>
  <c r="R14" i="10"/>
  <c r="Q9" i="10"/>
  <c r="M9" i="10" s="1"/>
  <c r="Q11" i="10"/>
  <c r="P10" i="10"/>
  <c r="Q8" i="10"/>
  <c r="N8" i="10" s="1"/>
  <c r="Q10" i="10"/>
  <c r="O10" i="10" s="1"/>
  <c r="Y3" i="10"/>
  <c r="G51" i="5"/>
  <c r="E51" i="5"/>
  <c r="F17" i="5"/>
  <c r="F16" i="5"/>
  <c r="F14" i="5"/>
  <c r="F13" i="5"/>
  <c r="F12" i="5"/>
  <c r="F11" i="5"/>
  <c r="F8" i="5"/>
  <c r="F7" i="5"/>
  <c r="F6" i="5"/>
  <c r="F5" i="5"/>
  <c r="F4" i="5"/>
  <c r="I15" i="11" l="1"/>
  <c r="H24" i="11"/>
  <c r="S25" i="10"/>
  <c r="U19" i="10"/>
  <c r="V19" i="10" s="1"/>
  <c r="M10" i="10"/>
  <c r="N10" i="10"/>
  <c r="S10" i="10" s="1"/>
  <c r="N9" i="10"/>
  <c r="S9" i="10" s="1"/>
  <c r="O9" i="10"/>
  <c r="P9" i="10"/>
  <c r="O8" i="10"/>
  <c r="P8" i="10"/>
  <c r="M8" i="10"/>
  <c r="R10" i="10"/>
  <c r="K17" i="5"/>
  <c r="K16" i="5"/>
  <c r="K14" i="5"/>
  <c r="K13" i="5"/>
  <c r="K12" i="5"/>
  <c r="K11" i="5"/>
  <c r="K8" i="5"/>
  <c r="K7" i="5"/>
  <c r="K6" i="5"/>
  <c r="K5" i="5"/>
  <c r="K4" i="5"/>
  <c r="H55" i="8"/>
  <c r="G54" i="8"/>
  <c r="L55" i="8"/>
  <c r="K55" i="8"/>
  <c r="G55" i="8"/>
  <c r="F55" i="8"/>
  <c r="E55" i="8"/>
  <c r="D55" i="8"/>
  <c r="C55" i="8"/>
  <c r="B55" i="8"/>
  <c r="I54" i="8"/>
  <c r="R25" i="10" l="1"/>
  <c r="U25" i="10" s="1"/>
  <c r="V25" i="10" s="1"/>
  <c r="R9" i="10"/>
  <c r="U9" i="10" s="1"/>
  <c r="V9" i="10" s="1"/>
  <c r="U10" i="10"/>
  <c r="V10" i="10" s="1"/>
  <c r="B7" i="8"/>
  <c r="W14" i="5"/>
  <c r="V14" i="5"/>
  <c r="T14" i="5"/>
  <c r="R14" i="5"/>
  <c r="W13" i="5"/>
  <c r="X13" i="5"/>
  <c r="T13" i="5"/>
  <c r="S13" i="5"/>
  <c r="R13" i="5"/>
  <c r="O14" i="5"/>
  <c r="O13" i="5"/>
  <c r="N14" i="5"/>
  <c r="N13" i="5"/>
  <c r="J13" i="5"/>
  <c r="U13" i="5"/>
  <c r="J14" i="5"/>
  <c r="U14" i="5"/>
  <c r="X12" i="5"/>
  <c r="X11" i="5"/>
  <c r="X8" i="5"/>
  <c r="H29" i="11"/>
  <c r="X6" i="5"/>
  <c r="X5" i="5"/>
  <c r="H4" i="11"/>
  <c r="H23" i="11" l="1"/>
  <c r="I4" i="11"/>
  <c r="B60" i="8"/>
  <c r="B59" i="8"/>
  <c r="B58" i="8"/>
  <c r="B57" i="8"/>
  <c r="H41" i="8"/>
  <c r="A57" i="8"/>
  <c r="L34" i="8"/>
  <c r="L33" i="8"/>
  <c r="M32" i="8"/>
  <c r="M77" i="8" l="1"/>
  <c r="K42" i="7"/>
  <c r="K39" i="7"/>
  <c r="A39" i="7"/>
  <c r="A38" i="7"/>
  <c r="F33" i="7"/>
  <c r="O66" i="8"/>
  <c r="M76" i="8"/>
  <c r="P76" i="8"/>
  <c r="N72" i="8"/>
  <c r="F54" i="8"/>
  <c r="F53" i="8" s="1"/>
  <c r="H40" i="8" l="1"/>
  <c r="B53" i="8"/>
  <c r="C54" i="8"/>
  <c r="D53" i="8"/>
  <c r="D54" i="8" s="1"/>
  <c r="C53" i="8"/>
  <c r="O20" i="8"/>
  <c r="O19" i="8"/>
  <c r="C7" i="8"/>
  <c r="D6" i="8"/>
  <c r="H6" i="8"/>
  <c r="H14" i="7"/>
  <c r="H13" i="7"/>
  <c r="G14" i="7"/>
  <c r="F14" i="7"/>
  <c r="E14" i="7"/>
  <c r="G13" i="7"/>
  <c r="F13" i="7"/>
  <c r="E13" i="7"/>
  <c r="B35" i="7"/>
  <c r="A35" i="7"/>
  <c r="A8" i="7"/>
  <c r="C4" i="7"/>
  <c r="B4" i="7"/>
  <c r="E53" i="8" l="1"/>
  <c r="B54" i="8"/>
  <c r="E54" i="8"/>
  <c r="J8" i="5"/>
  <c r="J7" i="5"/>
  <c r="J6" i="5"/>
  <c r="J5" i="5"/>
  <c r="J4" i="5"/>
  <c r="W17" i="5"/>
  <c r="V17" i="5"/>
  <c r="U17" i="5"/>
  <c r="T17" i="5"/>
  <c r="O17" i="5"/>
  <c r="P16" i="5"/>
  <c r="J17" i="5"/>
  <c r="W16" i="5"/>
  <c r="V16" i="5"/>
  <c r="U16" i="5"/>
  <c r="T16" i="5"/>
  <c r="F17" i="11"/>
  <c r="J16" i="5"/>
  <c r="W12" i="5"/>
  <c r="T12" i="5"/>
  <c r="U11" i="5"/>
  <c r="T11" i="5"/>
  <c r="S12" i="5"/>
  <c r="S11" i="5"/>
  <c r="N12" i="5"/>
  <c r="J12" i="5"/>
  <c r="U12" i="5"/>
  <c r="N11" i="5"/>
  <c r="O11" i="5" s="1"/>
  <c r="S16" i="5" l="1"/>
  <c r="I17" i="11"/>
  <c r="F25" i="11"/>
  <c r="H18" i="11"/>
  <c r="H31" i="11" s="1"/>
  <c r="S17" i="5"/>
  <c r="F18" i="11"/>
  <c r="D65" i="8"/>
  <c r="D64" i="8"/>
  <c r="D63" i="8"/>
  <c r="N5" i="5"/>
  <c r="O5" i="5" s="1"/>
  <c r="N4" i="5"/>
  <c r="O4" i="5" s="1"/>
  <c r="L11" i="5"/>
  <c r="J11" i="5"/>
  <c r="F31" i="11" l="1"/>
  <c r="I18" i="11"/>
  <c r="A58" i="8"/>
  <c r="A72" i="8"/>
  <c r="B72" i="8" s="1"/>
  <c r="U8" i="5"/>
  <c r="U7" i="5"/>
  <c r="U6" i="5"/>
  <c r="U5" i="5"/>
  <c r="U4" i="5"/>
  <c r="A59" i="8" l="1"/>
  <c r="A73" i="8"/>
  <c r="B73" i="8" s="1"/>
  <c r="J40" i="5"/>
  <c r="G40" i="5"/>
  <c r="G47" i="5"/>
  <c r="S40" i="5" s="1"/>
  <c r="G46" i="5"/>
  <c r="G45" i="5"/>
  <c r="N40" i="5"/>
  <c r="M8" i="5"/>
  <c r="E8" i="5"/>
  <c r="N8" i="5" s="1"/>
  <c r="O8" i="5" s="1"/>
  <c r="V7" i="5"/>
  <c r="S39" i="5"/>
  <c r="N39" i="5"/>
  <c r="J39" i="5"/>
  <c r="G39" i="5"/>
  <c r="N7" i="5"/>
  <c r="O7" i="5" s="1"/>
  <c r="F6" i="11" s="1"/>
  <c r="T37" i="5"/>
  <c r="N38" i="5"/>
  <c r="N37" i="5"/>
  <c r="N36" i="5"/>
  <c r="S38" i="5"/>
  <c r="T38" i="5" s="1"/>
  <c r="J38" i="5"/>
  <c r="E6" i="5"/>
  <c r="N6" i="5" s="1"/>
  <c r="O6" i="5" s="1"/>
  <c r="S37" i="5"/>
  <c r="J37" i="5"/>
  <c r="G37" i="5"/>
  <c r="G36" i="5"/>
  <c r="S36" i="5"/>
  <c r="J36" i="5"/>
  <c r="F29" i="11" l="1"/>
  <c r="I6" i="11"/>
  <c r="T40" i="5"/>
  <c r="U40" i="5" s="1"/>
  <c r="V40" i="5" s="1"/>
  <c r="S8" i="5" s="1"/>
  <c r="E38" i="5"/>
  <c r="G38" i="5" s="1"/>
  <c r="U38" i="5" s="1"/>
  <c r="T36" i="5"/>
  <c r="U36" i="5" s="1"/>
  <c r="T39" i="5"/>
  <c r="U39" i="5" s="1"/>
  <c r="V39" i="5" s="1"/>
  <c r="A60" i="8"/>
  <c r="A75" i="8" s="1"/>
  <c r="B75" i="8" s="1"/>
  <c r="A74" i="8"/>
  <c r="B74" i="8" s="1"/>
  <c r="U37" i="5"/>
  <c r="V36" i="5" l="1"/>
  <c r="P4" i="5"/>
  <c r="V38" i="5"/>
  <c r="S6" i="5" s="1"/>
  <c r="R6" i="5"/>
  <c r="P6" i="5" s="1"/>
  <c r="V37" i="5"/>
  <c r="S5" i="5" s="1"/>
  <c r="R5" i="5"/>
  <c r="P5" i="5" s="1"/>
  <c r="P7" i="5"/>
  <c r="R8" i="5"/>
  <c r="P8" i="5" s="1"/>
  <c r="O11" i="10" l="1"/>
  <c r="P11" i="10"/>
  <c r="M11" i="10"/>
  <c r="S11" i="10" s="1"/>
  <c r="T11" i="10" s="1"/>
  <c r="R8" i="10"/>
  <c r="N11" i="10"/>
  <c r="R11" i="10" l="1"/>
  <c r="U11" i="10" s="1"/>
  <c r="V11" i="10" s="1"/>
  <c r="S8" i="10"/>
  <c r="U8" i="10" s="1"/>
  <c r="V8" i="10" s="1"/>
</calcChain>
</file>

<file path=xl/sharedStrings.xml><?xml version="1.0" encoding="utf-8"?>
<sst xmlns="http://schemas.openxmlformats.org/spreadsheetml/2006/main" count="451" uniqueCount="268">
  <si>
    <t>golf course</t>
  </si>
  <si>
    <t>Total</t>
  </si>
  <si>
    <t>Greenspace</t>
  </si>
  <si>
    <t>Hardspace</t>
  </si>
  <si>
    <t>Comment</t>
  </si>
  <si>
    <t>Roads</t>
  </si>
  <si>
    <t>Hectares</t>
  </si>
  <si>
    <t>Area</t>
  </si>
  <si>
    <t>frontage</t>
  </si>
  <si>
    <t>depth</t>
  </si>
  <si>
    <t>Townhomes</t>
  </si>
  <si>
    <t>Beaverbrook</t>
  </si>
  <si>
    <t>width</t>
  </si>
  <si>
    <t>hectares</t>
  </si>
  <si>
    <t>total</t>
  </si>
  <si>
    <t>Kanata Lakes</t>
  </si>
  <si>
    <t>% of total</t>
  </si>
  <si>
    <t>wide</t>
  </si>
  <si>
    <t>%</t>
  </si>
  <si>
    <t>Front</t>
  </si>
  <si>
    <t>setbacks</t>
  </si>
  <si>
    <t>Frontage</t>
  </si>
  <si>
    <t>sqm</t>
  </si>
  <si>
    <t>Lot Dimensions</t>
  </si>
  <si>
    <t xml:space="preserve">ROW </t>
  </si>
  <si>
    <t>Diagram and definitions</t>
  </si>
  <si>
    <t>side (total)</t>
  </si>
  <si>
    <t>area</t>
  </si>
  <si>
    <t>rear yd</t>
  </si>
  <si>
    <t>Clublink</t>
  </si>
  <si>
    <t>back to back townhome</t>
  </si>
  <si>
    <t>Notes</t>
  </si>
  <si>
    <t>clublink</t>
  </si>
  <si>
    <t>total area (incl row)</t>
  </si>
  <si>
    <t>driveway</t>
  </si>
  <si>
    <t>house</t>
  </si>
  <si>
    <t>detached 1 (dbl dwy)</t>
  </si>
  <si>
    <t>detached 2 (sgl dwy) min</t>
  </si>
  <si>
    <t>detached 2 (sgl dwy) max</t>
  </si>
  <si>
    <t>sidewalk</t>
  </si>
  <si>
    <t>townhome (min)</t>
  </si>
  <si>
    <t>home</t>
  </si>
  <si>
    <t>Sidewalk (part of ROW)</t>
  </si>
  <si>
    <t>depth (1)</t>
  </si>
  <si>
    <t xml:space="preserve"> 3) % greenspace = (lot + ROW - sidewalk - house - driveway)/(lot + ROW)</t>
  </si>
  <si>
    <t>% green space (3)</t>
  </si>
  <si>
    <t xml:space="preserve"> 4) Setback from front lot line to home</t>
  </si>
  <si>
    <t xml:space="preserve"> 5) Setback from back lot line to home</t>
  </si>
  <si>
    <t xml:space="preserve"> 1) Depth from curb or sidewalk to home</t>
  </si>
  <si>
    <t xml:space="preserve"> 2) Only non-corner/end units included</t>
  </si>
  <si>
    <t>Community Units (2)</t>
  </si>
  <si>
    <t>Lot to Home - Front (4)</t>
  </si>
  <si>
    <t>Lot to Home - Back (5)</t>
  </si>
  <si>
    <t>Lot</t>
  </si>
  <si>
    <t>Lot + ROW</t>
  </si>
  <si>
    <t>Home</t>
  </si>
  <si>
    <t>acres</t>
  </si>
  <si>
    <t>Hct2Acr</t>
  </si>
  <si>
    <t>Hct2sqm</t>
  </si>
  <si>
    <t>City</t>
  </si>
  <si>
    <t>School</t>
  </si>
  <si>
    <t>Greenspace (Hectares)</t>
  </si>
  <si>
    <t>Greenspace calc</t>
  </si>
  <si>
    <t>Total area</t>
  </si>
  <si>
    <t>Schools</t>
  </si>
  <si>
    <t>Campeau Lands'</t>
  </si>
  <si>
    <t>Golf Course</t>
  </si>
  <si>
    <t>Wetlands</t>
  </si>
  <si>
    <t>Large Greenspace areas</t>
  </si>
  <si>
    <t>Acres</t>
  </si>
  <si>
    <t>NEA/storm water</t>
  </si>
  <si>
    <t>Parks</t>
  </si>
  <si>
    <t>Kizell Pond</t>
  </si>
  <si>
    <t>West Block</t>
  </si>
  <si>
    <t>New Beaver Pond</t>
  </si>
  <si>
    <t>Trillium woods</t>
  </si>
  <si>
    <t>Parks, etc</t>
  </si>
  <si>
    <t>New</t>
  </si>
  <si>
    <t>Certified</t>
  </si>
  <si>
    <t>Open Space</t>
  </si>
  <si>
    <t>2005 report City of Ottawa</t>
  </si>
  <si>
    <t>Fish habitat</t>
  </si>
  <si>
    <t>Compensation Lands</t>
  </si>
  <si>
    <t>Outside of boundary shown in simplified diagram</t>
  </si>
  <si>
    <t>40% Total</t>
  </si>
  <si>
    <t>Owned by Other</t>
  </si>
  <si>
    <t>Area in Campeau Space below the beaver pond</t>
  </si>
  <si>
    <t>Total acres</t>
  </si>
  <si>
    <t>excluding golf course</t>
  </si>
  <si>
    <t>including golf course</t>
  </si>
  <si>
    <t>Non-dwelling property</t>
  </si>
  <si>
    <t>% of total area</t>
  </si>
  <si>
    <t>non-residential - 117 acres</t>
  </si>
  <si>
    <t>total - 843 acres</t>
  </si>
  <si>
    <t>1/2 of beaver pond and wetlands separating KNL lands from current-as-built property in Campea Laands</t>
  </si>
  <si>
    <t>including 1/2 of wet lands</t>
  </si>
  <si>
    <t>1/2 wet lands - 86.5 acres</t>
  </si>
  <si>
    <t>Density</t>
  </si>
  <si>
    <t>current dwellings in Campeau lands south of beaver pond/wetlands</t>
  </si>
  <si>
    <t>dwellings</t>
  </si>
  <si>
    <t>dw/acre</t>
  </si>
  <si>
    <t>golf course -175 acres</t>
  </si>
  <si>
    <t>Greenspace (Hectares) (exclusive of Beaverpond)</t>
  </si>
  <si>
    <t>Total (except GC)</t>
  </si>
  <si>
    <t>Including non-dwelling land, excluding GC</t>
  </si>
  <si>
    <t>Including non-dwelling land, including GC</t>
  </si>
  <si>
    <t>Above + 1/2 beaver pond/wet lands</t>
  </si>
  <si>
    <t>Dwelling property parcels only, excluding all non-dwelling property</t>
  </si>
  <si>
    <t>uph(*)</t>
  </si>
  <si>
    <t>uph</t>
  </si>
  <si>
    <t>Units per hectare</t>
  </si>
  <si>
    <t>Clublink's calculation excludes the roads, parks and open space and the golf course</t>
  </si>
  <si>
    <t xml:space="preserve">Density, include roads </t>
  </si>
  <si>
    <t>only using dwelling property parcels</t>
  </si>
  <si>
    <t>Roads + dwelling properties</t>
  </si>
  <si>
    <t>Note, their calcuation includes Beaverbrook - we only include Kanata Lakes</t>
  </si>
  <si>
    <t>They also include a school as a park (school private)</t>
  </si>
  <si>
    <t>Residential jump</t>
  </si>
  <si>
    <t xml:space="preserve">includes Town Centre lands - not part of the community </t>
  </si>
  <si>
    <t>This suggest we do a combined density of Kanata Lakes and Beaverbrook as the overall metric</t>
  </si>
  <si>
    <t>Dwellings</t>
  </si>
  <si>
    <t>entire beaverbrook community (post office)</t>
  </si>
  <si>
    <t>Clublink density</t>
  </si>
  <si>
    <t>upg</t>
  </si>
  <si>
    <t>includes roads, parks, greenspace, storm water ponds - entire property</t>
  </si>
  <si>
    <t>Drawing 1</t>
  </si>
  <si>
    <t>Drawing 2</t>
  </si>
  <si>
    <t xml:space="preserve"> : excludes roads, golf course</t>
  </si>
  <si>
    <t xml:space="preserve"> : + includes some properties in Town Centre</t>
  </si>
  <si>
    <t>D2</t>
  </si>
  <si>
    <t>Campeau Lands</t>
  </si>
  <si>
    <t>All</t>
  </si>
  <si>
    <t>Below Beaver Pond</t>
  </si>
  <si>
    <t>Beaverpond and wetlands</t>
  </si>
  <si>
    <t>1400 acres owned by Campeau, which is what is registered in the 40% agreement</t>
  </si>
  <si>
    <t>Note - roads included</t>
  </si>
  <si>
    <t>CIty right of way from curb to property line (side of home facing street)</t>
  </si>
  <si>
    <t>non-green space (6)</t>
  </si>
  <si>
    <t>6) home + driveway, hard surface</t>
  </si>
  <si>
    <t>Note - none of the townhomes or rowhouses in Beaverbrook or Kanata Lakes back onto other homes - they all back on to greenspace, many detached homes also back onto greenspace</t>
  </si>
  <si>
    <t xml:space="preserve"> - Separation of back to back homes in Beaverbrook is 20m+ and in Kanata lakes 15+.</t>
  </si>
  <si>
    <t xml:space="preserve"> - Separation between back to back homes in Clublink's proposal would be 12m+ (6m each) in many cases where lot width/depth which does not provide for trees or hedges as privacy screening on either property</t>
  </si>
  <si>
    <t xml:space="preserve"> - Use of vegetation (hedges, trees, etc. ) as a privacy screen is extensive where homes back onto either greenspace or other homes in both Beaverbrook and Kanata Lakes</t>
  </si>
  <si>
    <t xml:space="preserve"> - There is no elevation difference between homes in any direction in Beaverbrook or Kanata lakes, where Clublink is proposing as much as a full 3 m+ difference in elevation between their development and existing Beaverbrook and Kanata Lakes homes. This is both privacy/overlook and a flooding issue - and potentially in everyday rainfall - let alone significante rainfall events</t>
  </si>
  <si>
    <t>Relationships between adjacent homes</t>
  </si>
  <si>
    <t>Total (1)</t>
  </si>
  <si>
    <t>Total (2)</t>
  </si>
  <si>
    <t>1) land area bounded by permiter of Campeau Lands</t>
  </si>
  <si>
    <t>2) land area under Compeau ownership</t>
  </si>
  <si>
    <t>40% (3)</t>
  </si>
  <si>
    <t>3) 40% of land under Compeau ownership</t>
  </si>
  <si>
    <t>post office delivery boxes</t>
  </si>
  <si>
    <t>dwelling count (KBCA dwelling survey circa 1980)</t>
  </si>
  <si>
    <t>dwelling count</t>
  </si>
  <si>
    <t>potential green area per property (sqm)</t>
  </si>
  <si>
    <t xml:space="preserve">KLForDensity </t>
  </si>
  <si>
    <t>Beaver Pond and Wet Lands</t>
  </si>
  <si>
    <t>7000 Campeau</t>
  </si>
  <si>
    <t>Community</t>
  </si>
  <si>
    <t>Front Set-back</t>
  </si>
  <si>
    <t>10-30m</t>
  </si>
  <si>
    <t>7-25m</t>
  </si>
  <si>
    <t>6-11m</t>
  </si>
  <si>
    <t>Street to home</t>
  </si>
  <si>
    <t>4m</t>
  </si>
  <si>
    <t>3.75m</t>
  </si>
  <si>
    <t>2m @ curb</t>
  </si>
  <si>
    <t>2m, 4m from curb</t>
  </si>
  <si>
    <t>Curb to home</t>
  </si>
  <si>
    <t>7.75m</t>
  </si>
  <si>
    <t>1.2-2m</t>
  </si>
  <si>
    <t>4-6m</t>
  </si>
  <si>
    <t>8-18m</t>
  </si>
  <si>
    <t>6-10m</t>
  </si>
  <si>
    <t>Front total (from sidewalk)</t>
  </si>
  <si>
    <t>12m</t>
  </si>
  <si>
    <t>12-24m</t>
  </si>
  <si>
    <t>City ROW(1)</t>
  </si>
  <si>
    <t>3.5m</t>
  </si>
  <si>
    <t>Inter-home gap (3)</t>
  </si>
  <si>
    <t>1-7m (4)</t>
  </si>
  <si>
    <t>Sidewalk (2)</t>
  </si>
  <si>
    <t>None (3)</t>
  </si>
  <si>
    <t>Streetscape Factors</t>
  </si>
  <si>
    <t>Home Type</t>
  </si>
  <si>
    <t>Address</t>
  </si>
  <si>
    <t xml:space="preserve">15 Selywn </t>
  </si>
  <si>
    <t>30 Tiffany</t>
  </si>
  <si>
    <t>75 Penfield</t>
  </si>
  <si>
    <t>35 Penfield</t>
  </si>
  <si>
    <t>137 Shaughnessy Cr</t>
  </si>
  <si>
    <t xml:space="preserve">46 Macassa </t>
  </si>
  <si>
    <t>detached 2 (sgl dwy) - max prop size</t>
  </si>
  <si>
    <t>detached 2 (sgl dwy) -min prop size</t>
  </si>
  <si>
    <t>detached</t>
  </si>
  <si>
    <t>semi-detached</t>
  </si>
  <si>
    <t>townhome</t>
  </si>
  <si>
    <t>[green] front yd</t>
  </si>
  <si>
    <t>Area sqm</t>
  </si>
  <si>
    <t>ft2m</t>
  </si>
  <si>
    <t>Area (sqm)</t>
  </si>
  <si>
    <t>Home foot-print</t>
  </si>
  <si>
    <t>interior  (sqm) size</t>
  </si>
  <si>
    <t>measured</t>
  </si>
  <si>
    <t>garage</t>
  </si>
  <si>
    <t>m/sqm</t>
  </si>
  <si>
    <t>Multiplier</t>
  </si>
  <si>
    <t>1st floor</t>
  </si>
  <si>
    <t>2nd floor</t>
  </si>
  <si>
    <t>3rd floor</t>
  </si>
  <si>
    <t xml:space="preserve">Total </t>
  </si>
  <si>
    <t>Interior area</t>
  </si>
  <si>
    <t>sqft</t>
  </si>
  <si>
    <t>sqm2sqft</t>
  </si>
  <si>
    <t>3 small floors, stairs area large</t>
  </si>
  <si>
    <t>2 floors</t>
  </si>
  <si>
    <t>detached 2 (sgl dwy)</t>
  </si>
  <si>
    <t>bungalow</t>
  </si>
  <si>
    <t>2 storey</t>
  </si>
  <si>
    <t>39 Pentand</t>
  </si>
  <si>
    <t>detached 2 storey</t>
  </si>
  <si>
    <t>39 Pentland</t>
  </si>
  <si>
    <t>KL</t>
  </si>
  <si>
    <t>Home living space</t>
  </si>
  <si>
    <t>Lot Size</t>
  </si>
  <si>
    <t>Green Area</t>
  </si>
  <si>
    <t>Lot Area</t>
  </si>
  <si>
    <t>detached 1</t>
  </si>
  <si>
    <t>detached 2 min</t>
  </si>
  <si>
    <t>town</t>
  </si>
  <si>
    <t>b2b town</t>
  </si>
  <si>
    <t>Hard Surface</t>
  </si>
  <si>
    <t>Area (sq m)</t>
  </si>
  <si>
    <t>39 Pent</t>
  </si>
  <si>
    <t>20 tiff</t>
  </si>
  <si>
    <t>75 pen</t>
  </si>
  <si>
    <t>35 pen</t>
  </si>
  <si>
    <t>Storeys</t>
  </si>
  <si>
    <t>address</t>
  </si>
  <si>
    <t>Unit</t>
  </si>
  <si>
    <t>46 Macassa</t>
  </si>
  <si>
    <t>Interior Floor Area</t>
  </si>
  <si>
    <t>Lot - Hard Surface size</t>
  </si>
  <si>
    <t>Beaverbrook(1)</t>
  </si>
  <si>
    <t>Kanata Lakes(1)</t>
  </si>
  <si>
    <t>Lot - Pot. Green Surface Size</t>
  </si>
  <si>
    <t>hard surface</t>
  </si>
  <si>
    <t>lot area check</t>
  </si>
  <si>
    <t xml:space="preserve">rows higlighted need hard/greenspace adjustments </t>
  </si>
  <si>
    <t>Plantable area</t>
  </si>
  <si>
    <t xml:space="preserve"> - issue of utility trench (highlight yellow)</t>
  </si>
  <si>
    <t xml:space="preserve"> - f/b yard area (except side walk)</t>
  </si>
  <si>
    <t xml:space="preserve">front yard planting depth - plantable, plantable outside utility trench </t>
  </si>
  <si>
    <t>- utility trench is 1.95 wide</t>
  </si>
  <si>
    <t>- root ball (trees, hedges, shrubs) must be 1.5 m away from underground utilties</t>
  </si>
  <si>
    <t>Back</t>
  </si>
  <si>
    <t>Yard depth</t>
  </si>
  <si>
    <t>Front Depth</t>
  </si>
  <si>
    <t>Back Depth</t>
  </si>
  <si>
    <t>Front Utility Limit(1)</t>
  </si>
  <si>
    <t>Detached Homes</t>
  </si>
  <si>
    <t>detached percent of BvrB/KL</t>
  </si>
  <si>
    <t>BvrBk</t>
  </si>
  <si>
    <t>1) Beaverbrook &amp; Kanata Lakes Town and Semi-Detached homes back on to common greenspace (e.g. linear park). 7000 Campeau Townhomes back onto other homes</t>
  </si>
  <si>
    <t xml:space="preserve">Beaverbrook </t>
  </si>
  <si>
    <t>Composite</t>
  </si>
  <si>
    <t>Clublink ratio</t>
  </si>
  <si>
    <t>area rration of 7000 campeau to Beaverbrook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</si>
</sst>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5" fillId="6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" fontId="0" fillId="0" borderId="0" xfId="0" applyNumberFormat="1"/>
    <xf numFmtId="9" fontId="0" fillId="0" borderId="0" xfId="2" applyFont="1"/>
    <xf numFmtId="0" fontId="0" fillId="0" borderId="0" xfId="0" applyAlignment="1">
      <alignment wrapText="1"/>
    </xf>
    <xf numFmtId="0" fontId="0" fillId="0" borderId="0" xfId="0" quotePrefix="1"/>
    <xf numFmtId="0" fontId="2" fillId="0" borderId="0" xfId="0" applyFont="1"/>
    <xf numFmtId="1" fontId="2" fillId="0" borderId="0" xfId="0" applyNumberFormat="1" applyFon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" fontId="0" fillId="0" borderId="0" xfId="1" applyNumberFormat="1" applyFont="1"/>
    <xf numFmtId="0" fontId="3" fillId="2" borderId="0" xfId="3"/>
    <xf numFmtId="2" fontId="0" fillId="0" borderId="0" xfId="0" applyNumberFormat="1" applyAlignment="1">
      <alignment horizontal="left"/>
    </xf>
    <xf numFmtId="0" fontId="0" fillId="0" borderId="0" xfId="0" applyAlignment="1"/>
    <xf numFmtId="0" fontId="2" fillId="0" borderId="0" xfId="0" applyFont="1" applyAlignment="1"/>
    <xf numFmtId="9" fontId="2" fillId="0" borderId="0" xfId="2" applyFont="1"/>
    <xf numFmtId="0" fontId="0" fillId="3" borderId="0" xfId="0" applyFill="1" applyAlignment="1">
      <alignment wrapText="1"/>
    </xf>
    <xf numFmtId="0" fontId="0" fillId="3" borderId="0" xfId="0" applyFill="1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wrapText="1"/>
    </xf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4" fillId="0" borderId="0" xfId="0" applyFont="1"/>
    <xf numFmtId="0" fontId="0" fillId="7" borderId="0" xfId="0" applyFill="1"/>
    <xf numFmtId="0" fontId="0" fillId="7" borderId="0" xfId="0" applyFill="1" applyAlignment="1">
      <alignment wrapText="1"/>
    </xf>
    <xf numFmtId="1" fontId="0" fillId="7" borderId="0" xfId="0" applyNumberFormat="1" applyFill="1" applyAlignment="1">
      <alignment wrapText="1"/>
    </xf>
    <xf numFmtId="9" fontId="0" fillId="7" borderId="0" xfId="0" applyNumberFormat="1" applyFill="1" applyAlignment="1">
      <alignment wrapText="1"/>
    </xf>
    <xf numFmtId="2" fontId="0" fillId="7" borderId="0" xfId="0" applyNumberFormat="1" applyFill="1"/>
    <xf numFmtId="1" fontId="0" fillId="7" borderId="0" xfId="0" applyNumberFormat="1" applyFill="1"/>
    <xf numFmtId="0" fontId="0" fillId="7" borderId="0" xfId="0" applyFill="1" applyAlignment="1">
      <alignment horizontal="right"/>
    </xf>
    <xf numFmtId="0" fontId="0" fillId="0" borderId="0" xfId="0" applyAlignment="1">
      <alignment horizontal="left" wrapText="1"/>
    </xf>
    <xf numFmtId="0" fontId="3" fillId="2" borderId="0" xfId="3" applyAlignment="1">
      <alignment wrapText="1"/>
    </xf>
    <xf numFmtId="0" fontId="5" fillId="6" borderId="0" xfId="4" applyAlignment="1">
      <alignment wrapText="1"/>
    </xf>
    <xf numFmtId="1" fontId="3" fillId="2" borderId="0" xfId="3" applyNumberFormat="1"/>
    <xf numFmtId="9" fontId="3" fillId="2" borderId="0" xfId="3" applyNumberFormat="1" applyAlignment="1">
      <alignment wrapText="1"/>
    </xf>
    <xf numFmtId="0" fontId="6" fillId="0" borderId="0" xfId="0" applyFont="1"/>
    <xf numFmtId="1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2" borderId="0" xfId="3" applyAlignment="1">
      <alignment horizontal="center"/>
    </xf>
    <xf numFmtId="0" fontId="2" fillId="3" borderId="0" xfId="0" applyFont="1" applyFill="1" applyAlignment="1">
      <alignment horizontal="center"/>
    </xf>
  </cellXfs>
  <cellStyles count="5">
    <cellStyle name="Comma" xfId="1" builtinId="3"/>
    <cellStyle name="Good" xfId="3" builtinId="26"/>
    <cellStyle name="Neutral" xfId="4" builtinId="2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CC"/>
      <color rgb="FFF5E40B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Single Family (detach</a:t>
            </a:r>
            <a:r>
              <a:rPr lang="en-CA" baseline="0"/>
              <a:t>ed) Homes</a:t>
            </a:r>
            <a:br>
              <a:rPr lang="en-CA" baseline="0"/>
            </a:br>
            <a:r>
              <a:rPr lang="en-CA" baseline="0"/>
              <a:t>Where trees can be planted </a:t>
            </a:r>
            <a:r>
              <a:rPr lang="en-CA"/>
              <a:t>based on yard</a:t>
            </a:r>
            <a:r>
              <a:rPr lang="en-CA" baseline="0"/>
              <a:t> depth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'Yard Size Compare'!$D$39</c:f>
              <c:strCache>
                <c:ptCount val="1"/>
                <c:pt idx="0">
                  <c:v>Front Depth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'Yard Size Compare'!$C$40:$C$42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Compare'!$D$40:$D$42</c:f>
              <c:numCache>
                <c:formatCode>0.00</c:formatCode>
                <c:ptCount val="3"/>
                <c:pt idx="0">
                  <c:v>5.75</c:v>
                </c:pt>
                <c:pt idx="1">
                  <c:v>15.7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'Yard Size Compare'!$E$39</c:f>
              <c:strCache>
                <c:ptCount val="1"/>
                <c:pt idx="0">
                  <c:v>Front Utility Limit(1)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  <a:sp3d/>
            </c:spPr>
          </c:dPt>
          <c:cat>
            <c:strRef>
              <c:f>'Yard Size Compare'!$C$40:$C$42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Compare'!$E$40:$E$42</c:f>
              <c:numCache>
                <c:formatCode>0.00</c:formatCode>
                <c:ptCount val="3"/>
                <c:pt idx="0">
                  <c:v>3.75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'Yard Size Compare'!$F$39</c:f>
              <c:strCache>
                <c:ptCount val="1"/>
                <c:pt idx="0">
                  <c:v>Back Depth</c:v>
                </c:pt>
              </c:strCache>
            </c:strRef>
          </c:tx>
          <c:spPr>
            <a:pattFill prst="lgChe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strRef>
              <c:f>'Yard Size Compare'!$C$40:$C$42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Compare'!$F$40:$F$42</c:f>
              <c:numCache>
                <c:formatCode>0.00</c:formatCode>
                <c:ptCount val="3"/>
                <c:pt idx="0">
                  <c:v>6</c:v>
                </c:pt>
                <c:pt idx="1">
                  <c:v>11.2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518736"/>
        <c:axId val="677519296"/>
        <c:axId val="0"/>
      </c:bar3DChart>
      <c:catAx>
        <c:axId val="67751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19296"/>
        <c:crosses val="autoZero"/>
        <c:auto val="1"/>
        <c:lblAlgn val="ctr"/>
        <c:lblOffset val="100"/>
        <c:noMultiLvlLbl val="0"/>
      </c:catAx>
      <c:valAx>
        <c:axId val="67751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1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Single Family (detached) Homes</a:t>
            </a:r>
            <a:r>
              <a:rPr lang="en-CA" baseline="0"/>
              <a:t/>
            </a:r>
            <a:br>
              <a:rPr lang="en-CA" baseline="0"/>
            </a:br>
            <a:r>
              <a:rPr lang="en-CA" baseline="0"/>
              <a:t>Plantable Yard Area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'Yard Size Compare'!$D$33</c:f>
              <c:strCache>
                <c:ptCount val="1"/>
                <c:pt idx="0">
                  <c:v>Front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'Yard Size Compare'!$C$34:$C$36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Compare'!$D$34:$D$36</c:f>
              <c:numCache>
                <c:formatCode>0</c:formatCode>
                <c:ptCount val="3"/>
                <c:pt idx="0">
                  <c:v>27.180250000000001</c:v>
                </c:pt>
                <c:pt idx="1">
                  <c:v>345.4</c:v>
                </c:pt>
                <c:pt idx="2">
                  <c:v>216</c:v>
                </c:pt>
              </c:numCache>
            </c:numRef>
          </c:val>
        </c:ser>
        <c:ser>
          <c:idx val="1"/>
          <c:order val="1"/>
          <c:tx>
            <c:strRef>
              <c:f>'Yard Size Compare'!$E$33</c:f>
              <c:strCache>
                <c:ptCount val="1"/>
                <c:pt idx="0">
                  <c:v>Back</c:v>
                </c:pt>
              </c:strCache>
            </c:strRef>
          </c:tx>
          <c:spPr>
            <a:pattFill prst="lgChe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strRef>
              <c:f>'Yard Size Compare'!$C$34:$C$36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Compare'!$E$34:$E$36</c:f>
              <c:numCache>
                <c:formatCode>0</c:formatCode>
                <c:ptCount val="3"/>
                <c:pt idx="0">
                  <c:v>63.96</c:v>
                </c:pt>
                <c:pt idx="1">
                  <c:v>246.39999999999998</c:v>
                </c:pt>
                <c:pt idx="2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522656"/>
        <c:axId val="677523216"/>
        <c:axId val="0"/>
      </c:bar3DChart>
      <c:catAx>
        <c:axId val="67752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23216"/>
        <c:crosses val="autoZero"/>
        <c:auto val="1"/>
        <c:lblAlgn val="ctr"/>
        <c:lblOffset val="100"/>
        <c:noMultiLvlLbl val="0"/>
      </c:catAx>
      <c:valAx>
        <c:axId val="67752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52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Town</a:t>
            </a:r>
            <a:r>
              <a:rPr lang="en-CA" baseline="0"/>
              <a:t> Homes</a:t>
            </a:r>
          </a:p>
          <a:p>
            <a:pPr>
              <a:defRPr/>
            </a:pPr>
            <a:r>
              <a:rPr lang="en-CA" baseline="0"/>
              <a:t>Plantable Yard Area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'Yard Size Compare'!$D$47</c:f>
              <c:strCache>
                <c:ptCount val="1"/>
                <c:pt idx="0">
                  <c:v>Front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'Yard Size Compare'!$C$48:$C$50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Compare'!$D$48:$D$50</c:f>
              <c:numCache>
                <c:formatCode>0</c:formatCode>
                <c:ptCount val="3"/>
                <c:pt idx="0">
                  <c:v>18.227499999999999</c:v>
                </c:pt>
                <c:pt idx="1">
                  <c:v>31.320000000000004</c:v>
                </c:pt>
                <c:pt idx="2">
                  <c:v>82.56</c:v>
                </c:pt>
              </c:numCache>
            </c:numRef>
          </c:val>
        </c:ser>
        <c:ser>
          <c:idx val="1"/>
          <c:order val="1"/>
          <c:tx>
            <c:strRef>
              <c:f>'Yard Size Compare'!$E$47</c:f>
              <c:strCache>
                <c:ptCount val="1"/>
                <c:pt idx="0">
                  <c:v>Back</c:v>
                </c:pt>
              </c:strCache>
            </c:strRef>
          </c:tx>
          <c:spPr>
            <a:pattFill prst="lgChe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strRef>
              <c:f>'Yard Size Compare'!$C$48:$C$50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Compare'!$E$48:$E$50</c:f>
              <c:numCache>
                <c:formatCode>0</c:formatCode>
                <c:ptCount val="3"/>
                <c:pt idx="0">
                  <c:v>36</c:v>
                </c:pt>
                <c:pt idx="1">
                  <c:v>39.715000000000003</c:v>
                </c:pt>
                <c:pt idx="2">
                  <c:v>82.56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883808"/>
        <c:axId val="677884368"/>
        <c:axId val="0"/>
      </c:bar3DChart>
      <c:catAx>
        <c:axId val="67788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884368"/>
        <c:crosses val="autoZero"/>
        <c:auto val="1"/>
        <c:lblAlgn val="ctr"/>
        <c:lblOffset val="100"/>
        <c:noMultiLvlLbl val="0"/>
      </c:catAx>
      <c:valAx>
        <c:axId val="677884368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88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Town </a:t>
            </a:r>
            <a:r>
              <a:rPr lang="en-CA" baseline="0"/>
              <a:t>Homes</a:t>
            </a:r>
            <a:br>
              <a:rPr lang="en-CA" baseline="0"/>
            </a:br>
            <a:r>
              <a:rPr lang="en-CA" baseline="0"/>
              <a:t>Where trees can be planted </a:t>
            </a:r>
            <a:r>
              <a:rPr lang="en-CA"/>
              <a:t>based on yard</a:t>
            </a:r>
            <a:r>
              <a:rPr lang="en-CA" baseline="0"/>
              <a:t> depth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'Yard Size Compare'!$D$53</c:f>
              <c:strCache>
                <c:ptCount val="1"/>
                <c:pt idx="0">
                  <c:v>Front Depth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'Yard Size Compare'!$C$54:$C$56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Compare'!$D$54:$D$56</c:f>
              <c:numCache>
                <c:formatCode>0.00</c:formatCode>
                <c:ptCount val="3"/>
                <c:pt idx="0">
                  <c:v>5.75</c:v>
                </c:pt>
                <c:pt idx="1">
                  <c:v>12</c:v>
                </c:pt>
                <c:pt idx="2">
                  <c:v>12</c:v>
                </c:pt>
              </c:numCache>
            </c:numRef>
          </c:val>
        </c:ser>
        <c:ser>
          <c:idx val="1"/>
          <c:order val="1"/>
          <c:tx>
            <c:strRef>
              <c:f>'Yard Size Compare'!$E$53</c:f>
              <c:strCache>
                <c:ptCount val="1"/>
                <c:pt idx="0">
                  <c:v>Front Utility Limit(1)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noFill/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noFill/>
              <a:ln>
                <a:noFill/>
              </a:ln>
              <a:effectLst/>
              <a:sp3d/>
            </c:spPr>
          </c:dPt>
          <c:cat>
            <c:strRef>
              <c:f>'Yard Size Compare'!$C$54:$C$56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Compare'!$E$54:$E$56</c:f>
              <c:numCache>
                <c:formatCode>0.00</c:formatCode>
                <c:ptCount val="3"/>
                <c:pt idx="0">
                  <c:v>3.75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'Yard Size Compare'!$F$53</c:f>
              <c:strCache>
                <c:ptCount val="1"/>
                <c:pt idx="0">
                  <c:v>Back Depth</c:v>
                </c:pt>
              </c:strCache>
            </c:strRef>
          </c:tx>
          <c:spPr>
            <a:pattFill prst="lgCheck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  <a:sp3d/>
          </c:spPr>
          <c:invertIfNegative val="0"/>
          <c:cat>
            <c:strRef>
              <c:f>'Yard Size Compare'!$C$54:$C$56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'Yard Size Compare'!$F$54:$F$56</c:f>
              <c:numCache>
                <c:formatCode>0.00</c:formatCode>
                <c:ptCount val="3"/>
                <c:pt idx="0">
                  <c:v>6</c:v>
                </c:pt>
                <c:pt idx="1">
                  <c:v>6.5</c:v>
                </c:pt>
                <c:pt idx="2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7888288"/>
        <c:axId val="677888848"/>
        <c:axId val="0"/>
      </c:bar3DChart>
      <c:catAx>
        <c:axId val="67788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888848"/>
        <c:crosses val="autoZero"/>
        <c:auto val="1"/>
        <c:lblAlgn val="ctr"/>
        <c:lblOffset val="100"/>
        <c:noMultiLvlLbl val="0"/>
      </c:catAx>
      <c:valAx>
        <c:axId val="67788884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88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accent1">
            <a:lumMod val="40000"/>
            <a:lumOff val="6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Single Family</a:t>
            </a:r>
            <a:r>
              <a:rPr lang="en-CA" baseline="0"/>
              <a:t> (detached): </a:t>
            </a:r>
            <a:r>
              <a:rPr lang="en-CA" sz="1400" b="0" i="0" u="none" strike="noStrike" baseline="0">
                <a:effectLst/>
              </a:rPr>
              <a:t>Area (m</a:t>
            </a:r>
            <a:r>
              <a:rPr lang="en-CA" sz="1400" b="0" i="0" u="none" strike="noStrike" baseline="30000">
                <a:effectLst/>
              </a:rPr>
              <a:t>2</a:t>
            </a:r>
            <a:r>
              <a:rPr lang="en-CA" sz="1400" b="0" i="0" u="none" strike="noStrike" baseline="0">
                <a:effectLst/>
              </a:rPr>
              <a:t>)</a:t>
            </a:r>
          </a:p>
        </c:rich>
      </c:tx>
      <c:layout>
        <c:manualLayout>
          <c:xMode val="edge"/>
          <c:yMode val="edge"/>
          <c:x val="0.30231640814962296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'Size Compare'!$E$22</c:f>
              <c:strCache>
                <c:ptCount val="1"/>
                <c:pt idx="0">
                  <c:v>Interior Floor Area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Compare'!$D$23:$D$25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'Size Compare'!$E$23:$E$25</c:f>
              <c:numCache>
                <c:formatCode>0</c:formatCode>
                <c:ptCount val="3"/>
                <c:pt idx="0">
                  <c:v>281</c:v>
                </c:pt>
                <c:pt idx="1">
                  <c:v>232</c:v>
                </c:pt>
                <c:pt idx="2" formatCode="General">
                  <c:v>430</c:v>
                </c:pt>
              </c:numCache>
            </c:numRef>
          </c:val>
        </c:ser>
        <c:ser>
          <c:idx val="1"/>
          <c:order val="1"/>
          <c:tx>
            <c:strRef>
              <c:f>'Size Compare'!$F$22</c:f>
              <c:strCache>
                <c:ptCount val="1"/>
                <c:pt idx="0">
                  <c:v>Lot Size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Compare'!$D$23:$D$25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'Size Compare'!$F$23:$F$25</c:f>
              <c:numCache>
                <c:formatCode>0</c:formatCode>
                <c:ptCount val="3"/>
                <c:pt idx="0">
                  <c:v>341.12</c:v>
                </c:pt>
                <c:pt idx="1">
                  <c:v>856</c:v>
                </c:pt>
                <c:pt idx="2" formatCode="General">
                  <c:v>808.3</c:v>
                </c:pt>
              </c:numCache>
            </c:numRef>
          </c:val>
        </c:ser>
        <c:ser>
          <c:idx val="2"/>
          <c:order val="2"/>
          <c:tx>
            <c:strRef>
              <c:f>'Size Compare'!$G$22</c:f>
              <c:strCache>
                <c:ptCount val="1"/>
                <c:pt idx="0">
                  <c:v>Lot - Hard Surface size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9014871424494038E-3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'Size Compare'!$D$23:$D$25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'Size Compare'!$G$23:$G$25</c:f>
              <c:numCache>
                <c:formatCode>0</c:formatCode>
                <c:ptCount val="3"/>
                <c:pt idx="0">
                  <c:v>218.6</c:v>
                </c:pt>
                <c:pt idx="1">
                  <c:v>323</c:v>
                </c:pt>
                <c:pt idx="2" formatCode="General">
                  <c:v>353</c:v>
                </c:pt>
              </c:numCache>
            </c:numRef>
          </c:val>
        </c:ser>
        <c:ser>
          <c:idx val="3"/>
          <c:order val="3"/>
          <c:tx>
            <c:strRef>
              <c:f>'Size Compare'!$H$22</c:f>
              <c:strCache>
                <c:ptCount val="1"/>
                <c:pt idx="0">
                  <c:v>Lot - Pot. Green Surface Size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5763218999362187E-17"/>
                  <c:y val="-4.62962962962971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Compare'!$D$23:$D$25</c:f>
              <c:strCache>
                <c:ptCount val="3"/>
                <c:pt idx="0">
                  <c:v>7000 Campeau</c:v>
                </c:pt>
                <c:pt idx="1">
                  <c:v>Beaverbrook</c:v>
                </c:pt>
                <c:pt idx="2">
                  <c:v>Kanata Lakes</c:v>
                </c:pt>
              </c:strCache>
            </c:strRef>
          </c:cat>
          <c:val>
            <c:numRef>
              <c:f>'Size Compare'!$H$23:$H$25</c:f>
              <c:numCache>
                <c:formatCode>0</c:formatCode>
                <c:ptCount val="3"/>
                <c:pt idx="0">
                  <c:v>122.52000000000001</c:v>
                </c:pt>
                <c:pt idx="1">
                  <c:v>533</c:v>
                </c:pt>
                <c:pt idx="2" formatCode="General">
                  <c:v>455.29999999999995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356848"/>
        <c:axId val="677357408"/>
      </c:barChart>
      <c:catAx>
        <c:axId val="67735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57408"/>
        <c:crosses val="autoZero"/>
        <c:auto val="1"/>
        <c:lblAlgn val="ctr"/>
        <c:lblOffset val="100"/>
        <c:noMultiLvlLbl val="0"/>
      </c:catAx>
      <c:valAx>
        <c:axId val="67735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5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6297092409027"/>
          <c:y val="0.8616892680081657"/>
          <c:w val="0.8354898009903633"/>
          <c:h val="0.11053295421405655"/>
        </c:manualLayout>
      </c:layout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Town Homes</a:t>
            </a:r>
            <a:r>
              <a:rPr lang="en-CA" baseline="0"/>
              <a:t>: </a:t>
            </a:r>
            <a:r>
              <a:rPr lang="en-CA" sz="1400" b="0" i="0" u="none" strike="noStrike" baseline="0">
                <a:effectLst/>
              </a:rPr>
              <a:t>Area (m</a:t>
            </a:r>
            <a:r>
              <a:rPr lang="en-CA" sz="1400" b="0" i="0" u="none" strike="noStrike" baseline="30000">
                <a:effectLst/>
              </a:rPr>
              <a:t>2</a:t>
            </a:r>
            <a:r>
              <a:rPr lang="en-CA" sz="1400" b="0" i="0" u="none" strike="noStrike" baseline="0">
                <a:effectLst/>
              </a:rPr>
              <a:t>)</a:t>
            </a:r>
          </a:p>
        </c:rich>
      </c:tx>
      <c:layout>
        <c:manualLayout>
          <c:xMode val="edge"/>
          <c:yMode val="edge"/>
          <c:x val="0.34913425385901625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'Size Compare'!$E$28</c:f>
              <c:strCache>
                <c:ptCount val="1"/>
                <c:pt idx="0">
                  <c:v>Interior Floor Area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Compare'!$D$29:$D$31</c:f>
              <c:strCache>
                <c:ptCount val="3"/>
                <c:pt idx="0">
                  <c:v>7000 Campeau</c:v>
                </c:pt>
                <c:pt idx="1">
                  <c:v>Beaverbrook(1)</c:v>
                </c:pt>
                <c:pt idx="2">
                  <c:v>Kanata Lakes(1)</c:v>
                </c:pt>
              </c:strCache>
            </c:strRef>
          </c:cat>
          <c:val>
            <c:numRef>
              <c:f>'Size Compare'!$E$29:$E$31</c:f>
              <c:numCache>
                <c:formatCode>0</c:formatCode>
                <c:ptCount val="3"/>
                <c:pt idx="0">
                  <c:v>207</c:v>
                </c:pt>
                <c:pt idx="1">
                  <c:v>144</c:v>
                </c:pt>
                <c:pt idx="2" formatCode="General">
                  <c:v>99</c:v>
                </c:pt>
              </c:numCache>
            </c:numRef>
          </c:val>
        </c:ser>
        <c:ser>
          <c:idx val="1"/>
          <c:order val="1"/>
          <c:tx>
            <c:strRef>
              <c:f>'Size Compare'!$F$28</c:f>
              <c:strCache>
                <c:ptCount val="1"/>
                <c:pt idx="0">
                  <c:v>Lot Size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Compare'!$D$29:$D$31</c:f>
              <c:strCache>
                <c:ptCount val="3"/>
                <c:pt idx="0">
                  <c:v>7000 Campeau</c:v>
                </c:pt>
                <c:pt idx="1">
                  <c:v>Beaverbrook(1)</c:v>
                </c:pt>
                <c:pt idx="2">
                  <c:v>Kanata Lakes(1)</c:v>
                </c:pt>
              </c:strCache>
            </c:strRef>
          </c:cat>
          <c:val>
            <c:numRef>
              <c:f>'Size Compare'!$F$29:$F$31</c:f>
              <c:numCache>
                <c:formatCode>0</c:formatCode>
                <c:ptCount val="3"/>
                <c:pt idx="0">
                  <c:v>192</c:v>
                </c:pt>
                <c:pt idx="1">
                  <c:v>242.56700000000004</c:v>
                </c:pt>
                <c:pt idx="2" formatCode="General">
                  <c:v>273.27999999999997</c:v>
                </c:pt>
              </c:numCache>
            </c:numRef>
          </c:val>
        </c:ser>
        <c:ser>
          <c:idx val="2"/>
          <c:order val="2"/>
          <c:tx>
            <c:strRef>
              <c:f>'Size Compare'!$G$28</c:f>
              <c:strCache>
                <c:ptCount val="1"/>
                <c:pt idx="0">
                  <c:v>Lot - Hard Surface size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Compare'!$D$29:$D$31</c:f>
              <c:strCache>
                <c:ptCount val="3"/>
                <c:pt idx="0">
                  <c:v>7000 Campeau</c:v>
                </c:pt>
                <c:pt idx="1">
                  <c:v>Beaverbrook(1)</c:v>
                </c:pt>
                <c:pt idx="2">
                  <c:v>Kanata Lakes(1)</c:v>
                </c:pt>
              </c:strCache>
            </c:strRef>
          </c:cat>
          <c:val>
            <c:numRef>
              <c:f>'Size Compare'!$G$29:$G$31</c:f>
              <c:numCache>
                <c:formatCode>0</c:formatCode>
                <c:ptCount val="3"/>
                <c:pt idx="0">
                  <c:v>137.30000000000001</c:v>
                </c:pt>
                <c:pt idx="1">
                  <c:v>156</c:v>
                </c:pt>
                <c:pt idx="2" formatCode="General">
                  <c:v>150</c:v>
                </c:pt>
              </c:numCache>
            </c:numRef>
          </c:val>
        </c:ser>
        <c:ser>
          <c:idx val="3"/>
          <c:order val="3"/>
          <c:tx>
            <c:strRef>
              <c:f>'Size Compare'!$H$28</c:f>
              <c:strCache>
                <c:ptCount val="1"/>
                <c:pt idx="0">
                  <c:v>Lot - Pot. Green Surface Size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'Size Compare'!$D$29:$D$31</c:f>
              <c:strCache>
                <c:ptCount val="3"/>
                <c:pt idx="0">
                  <c:v>7000 Campeau</c:v>
                </c:pt>
                <c:pt idx="1">
                  <c:v>Beaverbrook(1)</c:v>
                </c:pt>
                <c:pt idx="2">
                  <c:v>Kanata Lakes(1)</c:v>
                </c:pt>
              </c:strCache>
            </c:strRef>
          </c:cat>
          <c:val>
            <c:numRef>
              <c:f>'Size Compare'!$H$29:$H$31</c:f>
              <c:numCache>
                <c:formatCode>0</c:formatCode>
                <c:ptCount val="3"/>
                <c:pt idx="0">
                  <c:v>54.7</c:v>
                </c:pt>
                <c:pt idx="1">
                  <c:v>86.567000000000036</c:v>
                </c:pt>
                <c:pt idx="2" formatCode="General">
                  <c:v>123.27999999999997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77361888"/>
        <c:axId val="677362448"/>
      </c:barChart>
      <c:catAx>
        <c:axId val="67736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62448"/>
        <c:crosses val="autoZero"/>
        <c:auto val="1"/>
        <c:lblAlgn val="ctr"/>
        <c:lblOffset val="100"/>
        <c:noMultiLvlLbl val="0"/>
      </c:catAx>
      <c:valAx>
        <c:axId val="67736244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36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9857955147644"/>
          <c:y val="0.8524300087489064"/>
          <c:w val="0.82542688259810781"/>
          <c:h val="0.11247995042286381"/>
        </c:manualLayout>
      </c:layout>
      <c:overlay val="0"/>
      <c:spPr>
        <a:solidFill>
          <a:srgbClr val="CC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21</xdr:row>
      <xdr:rowOff>161925</xdr:rowOff>
    </xdr:from>
    <xdr:to>
      <xdr:col>7</xdr:col>
      <xdr:colOff>76200</xdr:colOff>
      <xdr:row>29</xdr:row>
      <xdr:rowOff>85725</xdr:rowOff>
    </xdr:to>
    <xdr:sp macro="" textlink="">
      <xdr:nvSpPr>
        <xdr:cNvPr id="2" name="TextBox 1"/>
        <xdr:cNvSpPr txBox="1"/>
      </xdr:nvSpPr>
      <xdr:spPr>
        <a:xfrm>
          <a:off x="457200" y="4162425"/>
          <a:ext cx="3276600" cy="1447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Notes:</a:t>
          </a:r>
        </a:p>
        <a:p>
          <a:r>
            <a:rPr lang="en-CA" sz="1100" baseline="0"/>
            <a:t> - Wetlands - includes Beaver/Kizell Pond and wetlands</a:t>
          </a:r>
        </a:p>
        <a:p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22</xdr:row>
      <xdr:rowOff>123825</xdr:rowOff>
    </xdr:from>
    <xdr:to>
      <xdr:col>18</xdr:col>
      <xdr:colOff>523874</xdr:colOff>
      <xdr:row>43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23812</xdr:colOff>
      <xdr:row>10</xdr:row>
      <xdr:rowOff>457200</xdr:rowOff>
    </xdr:from>
    <xdr:to>
      <xdr:col>18</xdr:col>
      <xdr:colOff>328612</xdr:colOff>
      <xdr:row>22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28575</xdr:colOff>
      <xdr:row>10</xdr:row>
      <xdr:rowOff>476250</xdr:rowOff>
    </xdr:from>
    <xdr:to>
      <xdr:col>27</xdr:col>
      <xdr:colOff>333375</xdr:colOff>
      <xdr:row>22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23</xdr:row>
      <xdr:rowOff>0</xdr:rowOff>
    </xdr:from>
    <xdr:to>
      <xdr:col>27</xdr:col>
      <xdr:colOff>485775</xdr:colOff>
      <xdr:row>44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147637</xdr:colOff>
      <xdr:row>2</xdr:row>
      <xdr:rowOff>561975</xdr:rowOff>
    </xdr:from>
    <xdr:to>
      <xdr:col>21</xdr:col>
      <xdr:colOff>561975</xdr:colOff>
      <xdr:row>15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142875</xdr:colOff>
      <xdr:row>15</xdr:row>
      <xdr:rowOff>133350</xdr:rowOff>
    </xdr:from>
    <xdr:to>
      <xdr:col>21</xdr:col>
      <xdr:colOff>557213</xdr:colOff>
      <xdr:row>27</xdr:row>
      <xdr:rowOff>19050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7</xdr:row>
      <xdr:rowOff>47626</xdr:rowOff>
    </xdr:from>
    <xdr:to>
      <xdr:col>8</xdr:col>
      <xdr:colOff>581025</xdr:colOff>
      <xdr:row>16</xdr:row>
      <xdr:rowOff>66676</xdr:rowOff>
    </xdr:to>
    <xdr:sp macro="" textlink="">
      <xdr:nvSpPr>
        <xdr:cNvPr id="2" name="TextBox 1"/>
        <xdr:cNvSpPr txBox="1"/>
      </xdr:nvSpPr>
      <xdr:spPr>
        <a:xfrm>
          <a:off x="1247775" y="1952626"/>
          <a:ext cx="4886325" cy="1733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City Right of Way - contains utility trench</a:t>
          </a:r>
          <a:r>
            <a:rPr lang="en-CA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Beavebrook has extensive paths interior to the community vs. on street sidewalks, Kanata Lakes has paths set back from the street to serve as sidewalks + some interior community paths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CA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On street sidewalks only retrofitted in Beaverbrook recently for student access to schools and street crossings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CA">
            <a:effectLst/>
          </a:endParaRP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None for townhomes, Gap is for semi-detached or detached</a:t>
          </a:r>
          <a:r>
            <a:rPr lang="en-CA"/>
            <a:t> </a:t>
          </a:r>
        </a:p>
        <a:p>
          <a:r>
            <a:rPr lang="en-CA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4) Gaps are typically between garages vs. home to home</a:t>
          </a:r>
          <a:r>
            <a:rPr lang="en-CA"/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>
      <selection activeCell="D31" sqref="D31"/>
    </sheetView>
  </sheetViews>
  <sheetFormatPr defaultRowHeight="15" x14ac:dyDescent="0.25"/>
  <cols>
    <col min="1" max="1" width="16" bestFit="1" customWidth="1"/>
    <col min="3" max="3" width="13.28515625" bestFit="1" customWidth="1"/>
  </cols>
  <sheetData>
    <row r="1" spans="1:8" x14ac:dyDescent="0.25">
      <c r="A1" s="7" t="s">
        <v>11</v>
      </c>
    </row>
    <row r="2" spans="1:8" x14ac:dyDescent="0.25">
      <c r="A2" t="s">
        <v>7</v>
      </c>
      <c r="E2" t="s">
        <v>57</v>
      </c>
      <c r="F2">
        <v>2.4700000000000002</v>
      </c>
      <c r="G2" t="s">
        <v>58</v>
      </c>
      <c r="H2">
        <v>10000</v>
      </c>
    </row>
    <row r="3" spans="1:8" x14ac:dyDescent="0.25">
      <c r="A3" t="s">
        <v>13</v>
      </c>
      <c r="B3" t="s">
        <v>56</v>
      </c>
      <c r="C3" t="s">
        <v>22</v>
      </c>
    </row>
    <row r="4" spans="1:8" x14ac:dyDescent="0.25">
      <c r="A4" s="3">
        <v>247.4</v>
      </c>
      <c r="B4" s="3">
        <f>A4*Hct2Acr</f>
        <v>611.07800000000009</v>
      </c>
      <c r="C4" s="16">
        <f>A4*Hct2sqm</f>
        <v>2474000</v>
      </c>
    </row>
    <row r="6" spans="1:8" x14ac:dyDescent="0.25">
      <c r="A6" t="s">
        <v>61</v>
      </c>
    </row>
    <row r="7" spans="1:8" x14ac:dyDescent="0.25">
      <c r="A7" t="s">
        <v>59</v>
      </c>
      <c r="B7" t="s">
        <v>60</v>
      </c>
    </row>
    <row r="8" spans="1:8" x14ac:dyDescent="0.25">
      <c r="A8">
        <f>0.27+0.16+1.31</f>
        <v>1.7400000000000002</v>
      </c>
      <c r="B8">
        <v>3.42</v>
      </c>
    </row>
    <row r="9" spans="1:8" x14ac:dyDescent="0.25">
      <c r="A9">
        <v>1.44</v>
      </c>
      <c r="B9">
        <v>9.74</v>
      </c>
    </row>
    <row r="10" spans="1:8" x14ac:dyDescent="0.25">
      <c r="A10">
        <v>0.28000000000000003</v>
      </c>
      <c r="B10">
        <v>2.81</v>
      </c>
      <c r="E10" t="s">
        <v>62</v>
      </c>
    </row>
    <row r="11" spans="1:8" x14ac:dyDescent="0.25">
      <c r="A11">
        <v>0.9</v>
      </c>
      <c r="B11">
        <v>2.5299999999999998</v>
      </c>
      <c r="E11" s="47" t="s">
        <v>63</v>
      </c>
      <c r="F11" s="49" t="s">
        <v>2</v>
      </c>
      <c r="G11" s="49"/>
      <c r="H11" s="49"/>
    </row>
    <row r="12" spans="1:8" x14ac:dyDescent="0.25">
      <c r="A12">
        <v>1.02</v>
      </c>
      <c r="B12">
        <v>2.58</v>
      </c>
      <c r="E12" s="47"/>
      <c r="F12" s="17" t="s">
        <v>59</v>
      </c>
      <c r="G12" s="17" t="s">
        <v>64</v>
      </c>
      <c r="H12" s="17" t="s">
        <v>1</v>
      </c>
    </row>
    <row r="13" spans="1:8" x14ac:dyDescent="0.25">
      <c r="A13">
        <v>0.15</v>
      </c>
      <c r="D13" t="s">
        <v>6</v>
      </c>
      <c r="E13" s="3">
        <f>A4</f>
        <v>247.4</v>
      </c>
      <c r="F13">
        <f>A35</f>
        <v>41.74</v>
      </c>
      <c r="G13">
        <f>B35</f>
        <v>21.08</v>
      </c>
      <c r="H13">
        <f>G13+F13</f>
        <v>62.82</v>
      </c>
    </row>
    <row r="14" spans="1:8" x14ac:dyDescent="0.25">
      <c r="A14">
        <v>1.23</v>
      </c>
      <c r="D14" t="s">
        <v>16</v>
      </c>
      <c r="E14" s="4">
        <f>E13/E13</f>
        <v>1</v>
      </c>
      <c r="F14" s="4">
        <f>F13/E13</f>
        <v>0.16871463217461602</v>
      </c>
      <c r="G14" s="4">
        <f>G13/E13</f>
        <v>8.5206143896523839E-2</v>
      </c>
      <c r="H14" s="9">
        <f>G14+F14</f>
        <v>0.25392077607113983</v>
      </c>
    </row>
    <row r="15" spans="1:8" x14ac:dyDescent="0.25">
      <c r="A15">
        <v>4.3</v>
      </c>
    </row>
    <row r="16" spans="1:8" x14ac:dyDescent="0.25">
      <c r="A16">
        <v>3.07</v>
      </c>
    </row>
    <row r="17" spans="1:1" x14ac:dyDescent="0.25">
      <c r="A17">
        <v>1.95</v>
      </c>
    </row>
    <row r="18" spans="1:1" x14ac:dyDescent="0.25">
      <c r="A18">
        <v>0.73</v>
      </c>
    </row>
    <row r="19" spans="1:1" x14ac:dyDescent="0.25">
      <c r="A19">
        <v>1.35</v>
      </c>
    </row>
    <row r="20" spans="1:1" x14ac:dyDescent="0.25">
      <c r="A20">
        <v>0.64</v>
      </c>
    </row>
    <row r="21" spans="1:1" x14ac:dyDescent="0.25">
      <c r="A21">
        <v>0.17</v>
      </c>
    </row>
    <row r="22" spans="1:1" x14ac:dyDescent="0.25">
      <c r="A22">
        <v>1.82</v>
      </c>
    </row>
    <row r="23" spans="1:1" x14ac:dyDescent="0.25">
      <c r="A23">
        <v>0.35</v>
      </c>
    </row>
    <row r="24" spans="1:1" x14ac:dyDescent="0.25">
      <c r="A24">
        <v>0.2</v>
      </c>
    </row>
    <row r="25" spans="1:1" x14ac:dyDescent="0.25">
      <c r="A25">
        <v>0.27</v>
      </c>
    </row>
    <row r="26" spans="1:1" x14ac:dyDescent="0.25">
      <c r="A26">
        <v>8.09</v>
      </c>
    </row>
    <row r="27" spans="1:1" x14ac:dyDescent="0.25">
      <c r="A27">
        <v>0.74</v>
      </c>
    </row>
    <row r="28" spans="1:1" x14ac:dyDescent="0.25">
      <c r="A28">
        <v>5.62</v>
      </c>
    </row>
    <row r="29" spans="1:1" x14ac:dyDescent="0.25">
      <c r="A29">
        <v>0.5</v>
      </c>
    </row>
    <row r="30" spans="1:1" x14ac:dyDescent="0.25">
      <c r="A30">
        <v>1.68</v>
      </c>
    </row>
    <row r="31" spans="1:1" x14ac:dyDescent="0.25">
      <c r="A31">
        <v>1.68</v>
      </c>
    </row>
    <row r="32" spans="1:1" x14ac:dyDescent="0.25">
      <c r="A32">
        <v>0.55000000000000004</v>
      </c>
    </row>
    <row r="33" spans="1:14" x14ac:dyDescent="0.25">
      <c r="A33">
        <v>0.99</v>
      </c>
      <c r="E33" t="s">
        <v>120</v>
      </c>
      <c r="F33">
        <f>F34-284</f>
        <v>1932</v>
      </c>
      <c r="G33" t="s">
        <v>151</v>
      </c>
    </row>
    <row r="34" spans="1:14" x14ac:dyDescent="0.25">
      <c r="A34">
        <v>0.28000000000000003</v>
      </c>
      <c r="F34">
        <v>2216</v>
      </c>
      <c r="G34" t="s">
        <v>152</v>
      </c>
    </row>
    <row r="35" spans="1:14" x14ac:dyDescent="0.25">
      <c r="A35" s="7">
        <f>SUM(A8:A34)</f>
        <v>41.74</v>
      </c>
      <c r="B35" s="7">
        <f>SUM(B8:B34)</f>
        <v>21.08</v>
      </c>
    </row>
    <row r="37" spans="1:14" x14ac:dyDescent="0.25">
      <c r="A37" t="s">
        <v>109</v>
      </c>
      <c r="J37" t="s">
        <v>122</v>
      </c>
      <c r="M37" t="s">
        <v>99</v>
      </c>
      <c r="N37">
        <v>1544</v>
      </c>
    </row>
    <row r="38" spans="1:14" x14ac:dyDescent="0.25">
      <c r="A38" s="18">
        <f>F33/A4</f>
        <v>7.809215844785772</v>
      </c>
      <c r="B38" t="s">
        <v>121</v>
      </c>
      <c r="K38" t="s">
        <v>13</v>
      </c>
      <c r="L38" t="s">
        <v>56</v>
      </c>
    </row>
    <row r="39" spans="1:14" x14ac:dyDescent="0.25">
      <c r="A39" s="18">
        <f>F34/A4</f>
        <v>8.9571544058205337</v>
      </c>
      <c r="B39" t="s">
        <v>153</v>
      </c>
      <c r="J39" t="s">
        <v>0</v>
      </c>
      <c r="K39">
        <f>L39/Hct2Acr</f>
        <v>71.255060728744937</v>
      </c>
      <c r="L39">
        <v>176</v>
      </c>
    </row>
    <row r="41" spans="1:14" x14ac:dyDescent="0.25">
      <c r="J41" t="s">
        <v>97</v>
      </c>
      <c r="K41" t="s">
        <v>123</v>
      </c>
    </row>
    <row r="42" spans="1:14" x14ac:dyDescent="0.25">
      <c r="K42" s="10">
        <f>N37/K39</f>
        <v>21.668636363636363</v>
      </c>
      <c r="L42" t="s">
        <v>124</v>
      </c>
    </row>
    <row r="43" spans="1:14" x14ac:dyDescent="0.25">
      <c r="G43" t="s">
        <v>266</v>
      </c>
    </row>
    <row r="44" spans="1:14" x14ac:dyDescent="0.25">
      <c r="E44" t="s">
        <v>264</v>
      </c>
      <c r="F44">
        <v>7.81</v>
      </c>
      <c r="G44">
        <f>F47/F44</f>
        <v>2.7744732859969736</v>
      </c>
    </row>
    <row r="45" spans="1:14" x14ac:dyDescent="0.25">
      <c r="E45" t="s">
        <v>222</v>
      </c>
      <c r="F45">
        <v>9.36</v>
      </c>
      <c r="G45">
        <f>F47/F45</f>
        <v>2.3150252525252526</v>
      </c>
    </row>
    <row r="46" spans="1:14" x14ac:dyDescent="0.25">
      <c r="E46" t="s">
        <v>265</v>
      </c>
      <c r="F46">
        <v>8.5</v>
      </c>
      <c r="G46">
        <f>F47/F46</f>
        <v>2.5492513368983958</v>
      </c>
      <c r="K46" t="s">
        <v>267</v>
      </c>
    </row>
    <row r="47" spans="1:14" x14ac:dyDescent="0.25">
      <c r="E47" t="s">
        <v>29</v>
      </c>
      <c r="F47" s="10">
        <f>K42</f>
        <v>21.668636363636363</v>
      </c>
      <c r="K47">
        <f>K39/E13</f>
        <v>0.28801560520915498</v>
      </c>
    </row>
  </sheetData>
  <mergeCells count="2">
    <mergeCell ref="E11:E12"/>
    <mergeCell ref="F11:H1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opLeftCell="A31" workbookViewId="0">
      <selection activeCell="H56" sqref="H56"/>
    </sheetView>
  </sheetViews>
  <sheetFormatPr defaultRowHeight="15" x14ac:dyDescent="0.25"/>
  <cols>
    <col min="4" max="4" width="11.28515625" bestFit="1" customWidth="1"/>
    <col min="14" max="14" width="16.85546875" bestFit="1" customWidth="1"/>
  </cols>
  <sheetData>
    <row r="1" spans="1:16" x14ac:dyDescent="0.25">
      <c r="A1" t="s">
        <v>65</v>
      </c>
    </row>
    <row r="4" spans="1:16" x14ac:dyDescent="0.25">
      <c r="D4" s="47" t="s">
        <v>68</v>
      </c>
      <c r="E4" s="47"/>
      <c r="F4" s="47"/>
      <c r="G4" s="47"/>
    </row>
    <row r="5" spans="1:16" x14ac:dyDescent="0.25">
      <c r="B5" t="s">
        <v>145</v>
      </c>
      <c r="C5" t="s">
        <v>146</v>
      </c>
      <c r="D5" s="9" t="s">
        <v>149</v>
      </c>
      <c r="E5" t="s">
        <v>66</v>
      </c>
      <c r="F5" t="s">
        <v>75</v>
      </c>
      <c r="G5" t="s">
        <v>67</v>
      </c>
      <c r="H5" t="s">
        <v>1</v>
      </c>
    </row>
    <row r="6" spans="1:16" x14ac:dyDescent="0.25">
      <c r="A6" t="s">
        <v>69</v>
      </c>
      <c r="B6">
        <v>1600</v>
      </c>
      <c r="C6">
        <v>1400</v>
      </c>
      <c r="D6">
        <f>C6*0.4</f>
        <v>560</v>
      </c>
      <c r="E6">
        <v>175.89</v>
      </c>
      <c r="F6">
        <v>106.5</v>
      </c>
      <c r="G6">
        <v>173</v>
      </c>
      <c r="H6">
        <f>G6+F6+E6</f>
        <v>455.39</v>
      </c>
    </row>
    <row r="7" spans="1:16" x14ac:dyDescent="0.25">
      <c r="A7" t="s">
        <v>6</v>
      </c>
      <c r="B7">
        <f>B6/Hct2Acr</f>
        <v>647.77327935222672</v>
      </c>
      <c r="C7">
        <f>C6/Hct2Acr</f>
        <v>566.80161943319831</v>
      </c>
      <c r="M7" t="s">
        <v>80</v>
      </c>
    </row>
    <row r="8" spans="1:16" x14ac:dyDescent="0.25">
      <c r="A8" t="s">
        <v>22</v>
      </c>
      <c r="M8" t="s">
        <v>79</v>
      </c>
      <c r="O8" t="s">
        <v>69</v>
      </c>
      <c r="P8" t="s">
        <v>4</v>
      </c>
    </row>
    <row r="9" spans="1:16" x14ac:dyDescent="0.25">
      <c r="A9" s="6" t="s">
        <v>147</v>
      </c>
      <c r="M9" t="s">
        <v>78</v>
      </c>
      <c r="N9" t="s">
        <v>0</v>
      </c>
      <c r="O9">
        <v>175.65</v>
      </c>
    </row>
    <row r="10" spans="1:16" x14ac:dyDescent="0.25">
      <c r="A10" s="6" t="s">
        <v>148</v>
      </c>
      <c r="N10" t="s">
        <v>70</v>
      </c>
      <c r="O10">
        <v>42.72</v>
      </c>
    </row>
    <row r="11" spans="1:16" x14ac:dyDescent="0.25">
      <c r="A11" s="6" t="s">
        <v>150</v>
      </c>
      <c r="N11" t="s">
        <v>71</v>
      </c>
      <c r="O11">
        <v>75.760000000000005</v>
      </c>
    </row>
    <row r="12" spans="1:16" x14ac:dyDescent="0.25">
      <c r="M12" t="s">
        <v>77</v>
      </c>
      <c r="N12" t="s">
        <v>72</v>
      </c>
      <c r="O12">
        <v>84.34</v>
      </c>
    </row>
    <row r="13" spans="1:16" x14ac:dyDescent="0.25">
      <c r="N13" t="s">
        <v>73</v>
      </c>
      <c r="O13">
        <v>11.34</v>
      </c>
    </row>
    <row r="14" spans="1:16" x14ac:dyDescent="0.25">
      <c r="N14" t="s">
        <v>74</v>
      </c>
      <c r="O14">
        <v>20</v>
      </c>
    </row>
    <row r="15" spans="1:16" x14ac:dyDescent="0.25">
      <c r="N15" t="s">
        <v>75</v>
      </c>
      <c r="O15">
        <v>105.7</v>
      </c>
    </row>
    <row r="16" spans="1:16" x14ac:dyDescent="0.25">
      <c r="N16" t="s">
        <v>76</v>
      </c>
      <c r="O16">
        <v>29.79</v>
      </c>
    </row>
    <row r="17" spans="2:16" x14ac:dyDescent="0.25">
      <c r="N17" t="s">
        <v>81</v>
      </c>
      <c r="O17">
        <v>16.809999999999999</v>
      </c>
    </row>
    <row r="18" spans="2:16" x14ac:dyDescent="0.25">
      <c r="M18" t="s">
        <v>82</v>
      </c>
      <c r="O18">
        <v>31.3</v>
      </c>
      <c r="P18" t="s">
        <v>83</v>
      </c>
    </row>
    <row r="19" spans="2:16" x14ac:dyDescent="0.25">
      <c r="N19" t="s">
        <v>84</v>
      </c>
      <c r="O19">
        <f>SUM(O9:O18)</f>
        <v>593.40999999999985</v>
      </c>
    </row>
    <row r="20" spans="2:16" x14ac:dyDescent="0.25">
      <c r="N20" t="s">
        <v>1</v>
      </c>
      <c r="O20">
        <f>O19/0.4</f>
        <v>1483.5249999999996</v>
      </c>
    </row>
    <row r="30" spans="2:16" x14ac:dyDescent="0.25">
      <c r="K30" t="s">
        <v>130</v>
      </c>
    </row>
    <row r="31" spans="2:16" x14ac:dyDescent="0.25">
      <c r="L31" t="s">
        <v>6</v>
      </c>
      <c r="M31" t="s">
        <v>69</v>
      </c>
      <c r="N31" t="s">
        <v>4</v>
      </c>
    </row>
    <row r="32" spans="2:16" x14ac:dyDescent="0.25">
      <c r="B32" t="s">
        <v>86</v>
      </c>
      <c r="K32" s="1" t="s">
        <v>131</v>
      </c>
      <c r="L32" s="3">
        <v>645.80999999999995</v>
      </c>
      <c r="M32" s="3">
        <f>L32*Hct2Acr</f>
        <v>1595.1506999999999</v>
      </c>
      <c r="N32" t="s">
        <v>134</v>
      </c>
    </row>
    <row r="33" spans="2:13" x14ac:dyDescent="0.25">
      <c r="B33" s="1" t="s">
        <v>87</v>
      </c>
      <c r="C33">
        <v>843</v>
      </c>
      <c r="K33" s="1" t="s">
        <v>132</v>
      </c>
      <c r="L33" s="3">
        <f>M33/Hct2Acr</f>
        <v>341.29554655870442</v>
      </c>
      <c r="M33" s="3">
        <v>843</v>
      </c>
    </row>
    <row r="34" spans="2:13" x14ac:dyDescent="0.25">
      <c r="B34" t="s">
        <v>102</v>
      </c>
      <c r="K34" s="1" t="s">
        <v>133</v>
      </c>
      <c r="L34" s="3">
        <f>M34/Hct2Acr</f>
        <v>70.040485829959508</v>
      </c>
      <c r="M34">
        <v>173</v>
      </c>
    </row>
    <row r="35" spans="2:13" ht="45" x14ac:dyDescent="0.25">
      <c r="B35" t="s">
        <v>59</v>
      </c>
      <c r="C35" t="s">
        <v>64</v>
      </c>
      <c r="D35" s="5" t="s">
        <v>85</v>
      </c>
      <c r="E35" s="5" t="s">
        <v>103</v>
      </c>
      <c r="F35" t="s">
        <v>66</v>
      </c>
      <c r="G35" t="s">
        <v>156</v>
      </c>
    </row>
    <row r="36" spans="2:13" x14ac:dyDescent="0.25">
      <c r="B36">
        <v>7.9</v>
      </c>
      <c r="C36">
        <v>6.27</v>
      </c>
      <c r="D36">
        <v>1.24</v>
      </c>
      <c r="F36" s="10"/>
    </row>
    <row r="37" spans="2:13" x14ac:dyDescent="0.25">
      <c r="B37">
        <v>1.32</v>
      </c>
      <c r="C37">
        <v>2.98</v>
      </c>
      <c r="D37">
        <v>1.66</v>
      </c>
    </row>
    <row r="38" spans="2:13" x14ac:dyDescent="0.25">
      <c r="B38">
        <v>1.55</v>
      </c>
      <c r="C38">
        <v>2.4</v>
      </c>
      <c r="D38">
        <v>1.53</v>
      </c>
    </row>
    <row r="39" spans="2:13" x14ac:dyDescent="0.25">
      <c r="B39">
        <v>0.3</v>
      </c>
      <c r="D39">
        <v>2.11</v>
      </c>
      <c r="G39" t="s">
        <v>94</v>
      </c>
    </row>
    <row r="40" spans="2:13" x14ac:dyDescent="0.25">
      <c r="B40">
        <v>0.4</v>
      </c>
      <c r="G40" t="s">
        <v>69</v>
      </c>
      <c r="H40" s="3">
        <f>173/2</f>
        <v>86.5</v>
      </c>
    </row>
    <row r="41" spans="2:13" x14ac:dyDescent="0.25">
      <c r="B41">
        <v>1.31</v>
      </c>
      <c r="G41" t="s">
        <v>6</v>
      </c>
      <c r="H41" s="3">
        <f>H40/Hct2Acr</f>
        <v>35.020242914979754</v>
      </c>
    </row>
    <row r="42" spans="2:13" x14ac:dyDescent="0.25">
      <c r="B42">
        <v>0.16</v>
      </c>
    </row>
    <row r="43" spans="2:13" x14ac:dyDescent="0.25">
      <c r="B43">
        <v>1.38</v>
      </c>
    </row>
    <row r="44" spans="2:13" x14ac:dyDescent="0.25">
      <c r="B44">
        <v>0.62</v>
      </c>
    </row>
    <row r="45" spans="2:13" x14ac:dyDescent="0.25">
      <c r="B45">
        <v>1.02</v>
      </c>
    </row>
    <row r="46" spans="2:13" x14ac:dyDescent="0.25">
      <c r="B46">
        <v>4.3</v>
      </c>
    </row>
    <row r="47" spans="2:13" x14ac:dyDescent="0.25">
      <c r="B47">
        <v>2.33</v>
      </c>
    </row>
    <row r="48" spans="2:13" x14ac:dyDescent="0.25">
      <c r="B48">
        <v>1.45</v>
      </c>
    </row>
    <row r="49" spans="1:12" x14ac:dyDescent="0.25">
      <c r="B49">
        <v>3.31</v>
      </c>
    </row>
    <row r="50" spans="1:12" x14ac:dyDescent="0.25">
      <c r="B50">
        <v>0.85</v>
      </c>
    </row>
    <row r="51" spans="1:12" x14ac:dyDescent="0.25">
      <c r="B51">
        <v>0.47</v>
      </c>
    </row>
    <row r="52" spans="1:12" x14ac:dyDescent="0.25">
      <c r="B52">
        <v>0.53</v>
      </c>
    </row>
    <row r="53" spans="1:12" x14ac:dyDescent="0.25">
      <c r="A53" t="s">
        <v>6</v>
      </c>
      <c r="B53" s="3">
        <f>SUM(B36:B52)</f>
        <v>29.200000000000003</v>
      </c>
      <c r="C53" s="3">
        <f>SUM(C36:C50)</f>
        <v>11.65</v>
      </c>
      <c r="D53" s="3">
        <f>SUM(D36:D50)</f>
        <v>6.5399999999999991</v>
      </c>
      <c r="E53" s="8">
        <f>SUM(B53:D53)</f>
        <v>47.39</v>
      </c>
      <c r="F53" s="3">
        <f>F54/Hct2Acr</f>
        <v>71.113360323886639</v>
      </c>
      <c r="G53" s="3"/>
    </row>
    <row r="54" spans="1:12" x14ac:dyDescent="0.25">
      <c r="A54" t="s">
        <v>69</v>
      </c>
      <c r="B54" s="3">
        <f>B53*Hct2Acr</f>
        <v>72.124000000000009</v>
      </c>
      <c r="C54" s="3">
        <f>C53*Hct2Acr</f>
        <v>28.775500000000005</v>
      </c>
      <c r="D54" s="3">
        <f>D53*Hct2Acr</f>
        <v>16.1538</v>
      </c>
      <c r="E54" s="8">
        <f>SUM(B54:D54)</f>
        <v>117.05330000000002</v>
      </c>
      <c r="F54" s="3">
        <f>O9</f>
        <v>175.65</v>
      </c>
      <c r="G54" s="3">
        <f>H40</f>
        <v>86.5</v>
      </c>
      <c r="H54" t="s">
        <v>155</v>
      </c>
      <c r="I54" s="3">
        <f>A60</f>
        <v>929.5</v>
      </c>
    </row>
    <row r="55" spans="1:12" x14ac:dyDescent="0.25">
      <c r="A55" t="s">
        <v>18</v>
      </c>
      <c r="B55" s="4">
        <f>B54/KLForDensity</f>
        <v>7.7594405594405599E-2</v>
      </c>
      <c r="C55" s="4">
        <f>C54/KLForDensity</f>
        <v>3.0958041958041964E-2</v>
      </c>
      <c r="D55" s="4">
        <f>D54/KLForDensity</f>
        <v>1.7379020979020981E-2</v>
      </c>
      <c r="E55" s="21">
        <f>E54/KLForDensity</f>
        <v>0.12593146853146855</v>
      </c>
      <c r="F55" s="4">
        <f>F54/KLForDensity</f>
        <v>0.18897256589564282</v>
      </c>
      <c r="G55" s="4">
        <f>H40/KLForDensity</f>
        <v>9.3060785368477672E-2</v>
      </c>
      <c r="H55" s="9">
        <f>G55+F55+D55+C55+B55</f>
        <v>0.40796481979558907</v>
      </c>
      <c r="K55" s="9">
        <f>B55+C55+D55</f>
        <v>0.12593146853146853</v>
      </c>
      <c r="L55" s="9">
        <f>K55+F55</f>
        <v>0.31490403442711135</v>
      </c>
    </row>
    <row r="56" spans="1:12" x14ac:dyDescent="0.25">
      <c r="A56" t="s">
        <v>69</v>
      </c>
      <c r="B56" t="s">
        <v>6</v>
      </c>
    </row>
    <row r="57" spans="1:12" x14ac:dyDescent="0.25">
      <c r="A57" s="3">
        <f>C33-E54-F54</f>
        <v>550.29669999999999</v>
      </c>
      <c r="B57" s="3">
        <f>A57/Hct2Acr</f>
        <v>222.79218623481779</v>
      </c>
      <c r="C57" t="s">
        <v>107</v>
      </c>
    </row>
    <row r="58" spans="1:12" x14ac:dyDescent="0.25">
      <c r="A58" s="3">
        <f>A57+E54</f>
        <v>667.35</v>
      </c>
      <c r="B58" s="3">
        <f>A58/Hct2Acr</f>
        <v>270.18218623481778</v>
      </c>
      <c r="C58" t="s">
        <v>104</v>
      </c>
    </row>
    <row r="59" spans="1:12" x14ac:dyDescent="0.25">
      <c r="A59" s="3">
        <f>A58+F54</f>
        <v>843</v>
      </c>
      <c r="B59" s="3">
        <f>A59/Hct2Acr</f>
        <v>341.29554655870442</v>
      </c>
      <c r="C59" t="s">
        <v>105</v>
      </c>
    </row>
    <row r="60" spans="1:12" x14ac:dyDescent="0.25">
      <c r="A60" s="3">
        <f>A59+H40</f>
        <v>929.5</v>
      </c>
      <c r="B60" s="3">
        <f>A60/Hct2Acr</f>
        <v>376.31578947368416</v>
      </c>
      <c r="C60" t="s">
        <v>106</v>
      </c>
    </row>
    <row r="61" spans="1:12" x14ac:dyDescent="0.25">
      <c r="A61" s="3"/>
    </row>
    <row r="62" spans="1:12" x14ac:dyDescent="0.25">
      <c r="A62" t="s">
        <v>90</v>
      </c>
      <c r="D62" t="s">
        <v>91</v>
      </c>
      <c r="E62" s="4"/>
      <c r="F62" t="s">
        <v>93</v>
      </c>
    </row>
    <row r="63" spans="1:12" x14ac:dyDescent="0.25">
      <c r="A63" t="s">
        <v>88</v>
      </c>
      <c r="D63" s="4">
        <f>E54/C33</f>
        <v>0.13885326215895613</v>
      </c>
      <c r="F63" t="s">
        <v>92</v>
      </c>
    </row>
    <row r="64" spans="1:12" x14ac:dyDescent="0.25">
      <c r="A64" t="s">
        <v>89</v>
      </c>
      <c r="D64" s="4">
        <f>(E54+F54)/C33</f>
        <v>0.34721625148279955</v>
      </c>
      <c r="F64" t="s">
        <v>101</v>
      </c>
    </row>
    <row r="65" spans="1:16" x14ac:dyDescent="0.25">
      <c r="A65" t="s">
        <v>95</v>
      </c>
      <c r="D65" s="4">
        <f>(E54+H40+O9)/(C33+H40)</f>
        <v>0.40796481979558902</v>
      </c>
      <c r="F65" t="s">
        <v>96</v>
      </c>
      <c r="M65" t="s">
        <v>117</v>
      </c>
    </row>
    <row r="66" spans="1:16" x14ac:dyDescent="0.25">
      <c r="M66">
        <v>2390</v>
      </c>
      <c r="N66">
        <v>1855</v>
      </c>
      <c r="O66">
        <f>M66-N66</f>
        <v>535</v>
      </c>
      <c r="P66" t="s">
        <v>118</v>
      </c>
    </row>
    <row r="67" spans="1:16" x14ac:dyDescent="0.25">
      <c r="A67" s="7" t="s">
        <v>97</v>
      </c>
    </row>
    <row r="68" spans="1:16" x14ac:dyDescent="0.25">
      <c r="A68" s="7"/>
    </row>
    <row r="69" spans="1:16" x14ac:dyDescent="0.25">
      <c r="A69" t="s">
        <v>99</v>
      </c>
      <c r="B69">
        <v>3521</v>
      </c>
      <c r="C69" t="s">
        <v>98</v>
      </c>
      <c r="M69" t="s">
        <v>116</v>
      </c>
    </row>
    <row r="70" spans="1:16" x14ac:dyDescent="0.25">
      <c r="A70" s="7"/>
      <c r="M70" t="s">
        <v>115</v>
      </c>
    </row>
    <row r="71" spans="1:16" x14ac:dyDescent="0.25">
      <c r="A71" t="s">
        <v>100</v>
      </c>
      <c r="B71" t="s">
        <v>108</v>
      </c>
      <c r="C71" t="s">
        <v>135</v>
      </c>
      <c r="M71" t="s">
        <v>111</v>
      </c>
    </row>
    <row r="72" spans="1:16" x14ac:dyDescent="0.25">
      <c r="A72" s="2">
        <f>dwellings/A57</f>
        <v>6.3983665538971977</v>
      </c>
      <c r="B72" s="10">
        <f>A72*Hct2Acr</f>
        <v>15.803965388126079</v>
      </c>
      <c r="C72" t="s">
        <v>107</v>
      </c>
      <c r="L72" t="s">
        <v>29</v>
      </c>
      <c r="M72">
        <v>1855</v>
      </c>
      <c r="N72">
        <f>M72/M73</f>
        <v>106.97808535178777</v>
      </c>
      <c r="O72" t="s">
        <v>113</v>
      </c>
    </row>
    <row r="73" spans="1:16" x14ac:dyDescent="0.25">
      <c r="A73" s="2">
        <f>dwellings/A58</f>
        <v>5.2760920056941636</v>
      </c>
      <c r="B73" s="10">
        <f>A73*Hct2Acr</f>
        <v>13.031947254064585</v>
      </c>
      <c r="C73" t="s">
        <v>104</v>
      </c>
      <c r="M73">
        <v>17.34</v>
      </c>
    </row>
    <row r="74" spans="1:16" x14ac:dyDescent="0.25">
      <c r="A74" s="2">
        <f>dwellings/A59</f>
        <v>4.1767497034400947</v>
      </c>
      <c r="B74" s="10">
        <f>A74*Hct2Acr</f>
        <v>10.316571767497035</v>
      </c>
      <c r="C74" t="s">
        <v>105</v>
      </c>
    </row>
    <row r="75" spans="1:16" x14ac:dyDescent="0.25">
      <c r="A75" s="2">
        <f>dwellings/A60</f>
        <v>3.7880580957504035</v>
      </c>
      <c r="B75" s="10">
        <f>A75*Hct2Acr</f>
        <v>9.3565034965034979</v>
      </c>
      <c r="C75" t="s">
        <v>106</v>
      </c>
      <c r="L75" t="s">
        <v>112</v>
      </c>
      <c r="O75" t="s">
        <v>5</v>
      </c>
      <c r="P75">
        <v>39.72</v>
      </c>
    </row>
    <row r="76" spans="1:16" x14ac:dyDescent="0.25">
      <c r="M76">
        <f>M72/P76</f>
        <v>12.645018478268733</v>
      </c>
      <c r="N76" t="s">
        <v>114</v>
      </c>
      <c r="P76">
        <f>N72+P75</f>
        <v>146.69808535178777</v>
      </c>
    </row>
    <row r="77" spans="1:16" x14ac:dyDescent="0.25">
      <c r="C77" t="s">
        <v>109</v>
      </c>
      <c r="D77" t="s">
        <v>110</v>
      </c>
      <c r="M77">
        <f>M66/N72</f>
        <v>22.341024258760108</v>
      </c>
    </row>
    <row r="78" spans="1:16" x14ac:dyDescent="0.25">
      <c r="M78" t="s">
        <v>126</v>
      </c>
      <c r="N78">
        <v>17.34</v>
      </c>
      <c r="O78" s="6" t="s">
        <v>127</v>
      </c>
    </row>
    <row r="79" spans="1:16" x14ac:dyDescent="0.25">
      <c r="A79" t="s">
        <v>119</v>
      </c>
      <c r="M79" t="s">
        <v>125</v>
      </c>
      <c r="N79">
        <v>21.63</v>
      </c>
      <c r="O79" t="s">
        <v>128</v>
      </c>
    </row>
    <row r="81" spans="13:14" x14ac:dyDescent="0.25">
      <c r="M81" t="s">
        <v>129</v>
      </c>
      <c r="N81">
        <v>1.65</v>
      </c>
    </row>
  </sheetData>
  <mergeCells count="1">
    <mergeCell ref="D4:G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13" workbookViewId="0">
      <selection activeCell="F35" sqref="F35"/>
    </sheetView>
  </sheetViews>
  <sheetFormatPr defaultRowHeight="15" x14ac:dyDescent="0.25"/>
  <cols>
    <col min="2" max="2" width="18.42578125" bestFit="1" customWidth="1"/>
    <col min="3" max="3" width="16.140625" customWidth="1"/>
    <col min="5" max="5" width="17.85546875" bestFit="1" customWidth="1"/>
    <col min="6" max="6" width="11.140625" bestFit="1" customWidth="1"/>
    <col min="9" max="9" width="8.42578125" bestFit="1" customWidth="1"/>
  </cols>
  <sheetData>
    <row r="1" spans="1:9" x14ac:dyDescent="0.25">
      <c r="C1" s="5"/>
    </row>
    <row r="2" spans="1:9" x14ac:dyDescent="0.25">
      <c r="C2" s="5"/>
      <c r="E2" t="s">
        <v>249</v>
      </c>
      <c r="G2" t="s">
        <v>256</v>
      </c>
    </row>
    <row r="3" spans="1:9" x14ac:dyDescent="0.25">
      <c r="A3" t="s">
        <v>237</v>
      </c>
      <c r="B3" t="s">
        <v>238</v>
      </c>
      <c r="C3" s="5"/>
      <c r="D3" t="s">
        <v>239</v>
      </c>
      <c r="E3" t="s">
        <v>19</v>
      </c>
      <c r="F3" t="s">
        <v>255</v>
      </c>
      <c r="G3" t="s">
        <v>19</v>
      </c>
      <c r="H3" t="s">
        <v>255</v>
      </c>
      <c r="I3" s="5"/>
    </row>
    <row r="4" spans="1:9" ht="30" x14ac:dyDescent="0.25">
      <c r="A4">
        <v>2</v>
      </c>
      <c r="C4" s="40" t="s">
        <v>227</v>
      </c>
      <c r="D4">
        <v>1</v>
      </c>
      <c r="E4" s="3"/>
      <c r="F4" s="3"/>
      <c r="G4" s="3"/>
      <c r="H4" s="3"/>
      <c r="I4" s="3"/>
    </row>
    <row r="5" spans="1:9" ht="30" x14ac:dyDescent="0.25">
      <c r="A5">
        <v>2</v>
      </c>
      <c r="C5" s="40" t="s">
        <v>228</v>
      </c>
      <c r="D5">
        <v>2</v>
      </c>
      <c r="E5" s="3">
        <f>Setbacks!Q5</f>
        <v>149</v>
      </c>
      <c r="F5" s="3">
        <f>Setbacks!O5</f>
        <v>292.48</v>
      </c>
      <c r="G5" s="3">
        <f>Setbacks!R4</f>
        <v>218.6</v>
      </c>
      <c r="H5" s="3">
        <f>Setbacks!X5</f>
        <v>146.73750000000001</v>
      </c>
    </row>
    <row r="6" spans="1:9" x14ac:dyDescent="0.25">
      <c r="A6">
        <v>2</v>
      </c>
      <c r="C6" s="40" t="s">
        <v>229</v>
      </c>
      <c r="D6">
        <v>3</v>
      </c>
      <c r="E6" s="3">
        <f>Setbacks!Q6</f>
        <v>149</v>
      </c>
      <c r="F6" s="3">
        <f>Setbacks!O6</f>
        <v>233.07000000000002</v>
      </c>
      <c r="G6" s="3">
        <f>Setbacks!R6</f>
        <v>130.18335008154963</v>
      </c>
      <c r="H6" s="3">
        <f>Setbacks!X6</f>
        <v>87.327500000000015</v>
      </c>
      <c r="I6" s="3"/>
    </row>
    <row r="7" spans="1:9" ht="30" x14ac:dyDescent="0.25">
      <c r="A7">
        <v>3</v>
      </c>
      <c r="C7" s="40" t="s">
        <v>230</v>
      </c>
      <c r="D7">
        <v>4</v>
      </c>
      <c r="E7" s="3">
        <f>Setbacks!Q7</f>
        <v>207</v>
      </c>
      <c r="F7" s="3">
        <f>Setbacks!O7</f>
        <v>192</v>
      </c>
      <c r="G7" s="3">
        <f>Setbacks!R7</f>
        <v>137.30000000000001</v>
      </c>
      <c r="H7" s="3">
        <f>Setbacks!X7</f>
        <v>54.7</v>
      </c>
    </row>
    <row r="8" spans="1:9" x14ac:dyDescent="0.25">
      <c r="C8" s="5"/>
    </row>
    <row r="9" spans="1:9" x14ac:dyDescent="0.25">
      <c r="C9" s="5"/>
    </row>
    <row r="10" spans="1:9" x14ac:dyDescent="0.25">
      <c r="C10" s="5"/>
    </row>
    <row r="11" spans="1:9" ht="45" x14ac:dyDescent="0.25">
      <c r="C11" s="5"/>
      <c r="D11" t="s">
        <v>239</v>
      </c>
      <c r="E11" s="5" t="s">
        <v>223</v>
      </c>
      <c r="F11" s="5" t="s">
        <v>226</v>
      </c>
      <c r="G11" s="5" t="s">
        <v>231</v>
      </c>
      <c r="H11" s="5" t="s">
        <v>225</v>
      </c>
    </row>
    <row r="12" spans="1:9" ht="30" x14ac:dyDescent="0.25">
      <c r="A12">
        <v>2</v>
      </c>
      <c r="B12" t="s">
        <v>233</v>
      </c>
      <c r="C12" s="5" t="s">
        <v>194</v>
      </c>
      <c r="D12">
        <v>1</v>
      </c>
      <c r="E12" s="3">
        <f>Setbacks!Q9</f>
        <v>0</v>
      </c>
      <c r="F12" s="3">
        <f>Setbacks!O9</f>
        <v>0</v>
      </c>
      <c r="G12" s="3">
        <f>Setbacks!R9</f>
        <v>0</v>
      </c>
      <c r="H12" s="3">
        <f>Setbacks!X9</f>
        <v>0</v>
      </c>
      <c r="I12" s="3"/>
    </row>
    <row r="13" spans="1:9" ht="30" x14ac:dyDescent="0.25">
      <c r="A13">
        <v>1</v>
      </c>
      <c r="B13" t="s">
        <v>234</v>
      </c>
      <c r="C13" s="5" t="s">
        <v>194</v>
      </c>
      <c r="D13">
        <v>2</v>
      </c>
      <c r="E13">
        <f>Setbacks!Q11</f>
        <v>181</v>
      </c>
      <c r="F13" s="3">
        <f>Setbacks!O11</f>
        <v>1057</v>
      </c>
      <c r="G13">
        <f>Setbacks!R11</f>
        <v>332</v>
      </c>
      <c r="H13" s="3">
        <f>Setbacks!X11</f>
        <v>567.29999999999995</v>
      </c>
    </row>
    <row r="14" spans="1:9" ht="45" x14ac:dyDescent="0.25">
      <c r="A14">
        <v>2</v>
      </c>
      <c r="B14" t="s">
        <v>235</v>
      </c>
      <c r="C14" s="5" t="s">
        <v>195</v>
      </c>
      <c r="D14">
        <v>3</v>
      </c>
      <c r="E14">
        <f>Setbacks!Q12</f>
        <v>198</v>
      </c>
      <c r="F14" s="3">
        <f>Setbacks!O12</f>
        <v>1300</v>
      </c>
      <c r="G14">
        <f>Setbacks!R12</f>
        <v>425</v>
      </c>
      <c r="H14" s="3">
        <f>Setbacks!X12</f>
        <v>866.19</v>
      </c>
    </row>
    <row r="15" spans="1:9" x14ac:dyDescent="0.25">
      <c r="A15">
        <v>2</v>
      </c>
      <c r="B15" t="s">
        <v>236</v>
      </c>
      <c r="C15" s="5" t="s">
        <v>229</v>
      </c>
      <c r="D15">
        <v>4</v>
      </c>
      <c r="E15">
        <f>Setbacks!Q13</f>
        <v>140</v>
      </c>
      <c r="F15" s="3">
        <f>Setbacks!O13</f>
        <v>449.4</v>
      </c>
      <c r="G15">
        <f>Setbacks!R13</f>
        <v>157</v>
      </c>
      <c r="H15" s="3">
        <f>Setbacks!X13</f>
        <v>290.89999999999998</v>
      </c>
      <c r="I15" s="3"/>
    </row>
    <row r="16" spans="1:9" x14ac:dyDescent="0.25">
      <c r="C16" s="5"/>
    </row>
    <row r="17" spans="1:9" ht="30" x14ac:dyDescent="0.25">
      <c r="A17">
        <v>2</v>
      </c>
      <c r="B17" t="s">
        <v>190</v>
      </c>
      <c r="C17" s="5" t="s">
        <v>194</v>
      </c>
      <c r="D17">
        <v>1</v>
      </c>
      <c r="E17">
        <f>Setbacks!Q15</f>
        <v>0</v>
      </c>
      <c r="F17" s="3">
        <f>Setbacks!O15</f>
        <v>0</v>
      </c>
      <c r="G17">
        <f>Setbacks!R15</f>
        <v>0</v>
      </c>
      <c r="H17" s="3">
        <f>Setbacks!X15</f>
        <v>0</v>
      </c>
      <c r="I17" s="3"/>
    </row>
    <row r="18" spans="1:9" x14ac:dyDescent="0.25">
      <c r="A18">
        <v>2</v>
      </c>
      <c r="B18" t="s">
        <v>240</v>
      </c>
      <c r="C18" s="5" t="s">
        <v>229</v>
      </c>
      <c r="D18">
        <v>2</v>
      </c>
      <c r="E18">
        <f>Setbacks!Q16</f>
        <v>430</v>
      </c>
      <c r="F18" s="3">
        <f>Setbacks!O16</f>
        <v>808.3</v>
      </c>
      <c r="G18">
        <f>Setbacks!R16</f>
        <v>353</v>
      </c>
      <c r="H18" s="3">
        <f>Setbacks!X16</f>
        <v>455.29999999999995</v>
      </c>
      <c r="I18" s="3"/>
    </row>
    <row r="24" spans="1:9" x14ac:dyDescent="0.25">
      <c r="B24" t="s">
        <v>250</v>
      </c>
    </row>
    <row r="25" spans="1:9" x14ac:dyDescent="0.25">
      <c r="B25" s="6" t="s">
        <v>251</v>
      </c>
    </row>
    <row r="26" spans="1:9" x14ac:dyDescent="0.25">
      <c r="B26" s="6" t="s">
        <v>252</v>
      </c>
    </row>
    <row r="28" spans="1:9" x14ac:dyDescent="0.25">
      <c r="B28" s="6" t="s">
        <v>254</v>
      </c>
    </row>
    <row r="29" spans="1:9" x14ac:dyDescent="0.25">
      <c r="B29" s="6" t="s">
        <v>253</v>
      </c>
    </row>
    <row r="31" spans="1:9" x14ac:dyDescent="0.25">
      <c r="C31" t="s">
        <v>260</v>
      </c>
    </row>
    <row r="32" spans="1:9" x14ac:dyDescent="0.25">
      <c r="D32" t="s">
        <v>249</v>
      </c>
    </row>
    <row r="33" spans="2:8" x14ac:dyDescent="0.25">
      <c r="B33" s="5"/>
      <c r="C33" t="s">
        <v>158</v>
      </c>
      <c r="D33" t="s">
        <v>19</v>
      </c>
      <c r="E33" t="s">
        <v>255</v>
      </c>
      <c r="F33" t="s">
        <v>1</v>
      </c>
    </row>
    <row r="34" spans="2:8" x14ac:dyDescent="0.25">
      <c r="B34" s="5"/>
      <c r="C34" s="1" t="s">
        <v>157</v>
      </c>
      <c r="D34" s="3">
        <f>Setbacks!T4*Setbacks!U4</f>
        <v>27.180250000000001</v>
      </c>
      <c r="E34" s="3">
        <f>Setbacks!W4*Setbacks!V4</f>
        <v>63.96</v>
      </c>
      <c r="F34" s="46">
        <f>E34+D34</f>
        <v>91.140250000000009</v>
      </c>
      <c r="G34" s="3"/>
      <c r="H34" s="10"/>
    </row>
    <row r="35" spans="2:8" x14ac:dyDescent="0.25">
      <c r="B35" s="5"/>
      <c r="C35" s="1" t="s">
        <v>11</v>
      </c>
      <c r="D35" s="3">
        <f>Setbacks!T10*Setbacks!U10</f>
        <v>345.4</v>
      </c>
      <c r="E35" s="3">
        <f>Setbacks!W10*Setbacks!V10</f>
        <v>246.39999999999998</v>
      </c>
      <c r="F35" s="46">
        <f>E35+D35</f>
        <v>591.79999999999995</v>
      </c>
      <c r="G35" s="3"/>
      <c r="H35" s="10"/>
    </row>
    <row r="36" spans="2:8" x14ac:dyDescent="0.25">
      <c r="B36" s="5"/>
      <c r="C36" s="1" t="s">
        <v>15</v>
      </c>
      <c r="D36" s="3">
        <f>Setbacks!T16*Setbacks!U16</f>
        <v>216</v>
      </c>
      <c r="E36" s="3">
        <f>Setbacks!W16*Setbacks!V16</f>
        <v>276</v>
      </c>
      <c r="F36" s="46">
        <f>E36+D36</f>
        <v>492</v>
      </c>
    </row>
    <row r="37" spans="2:8" x14ac:dyDescent="0.25">
      <c r="B37" s="5"/>
    </row>
    <row r="38" spans="2:8" x14ac:dyDescent="0.25">
      <c r="B38" s="5"/>
      <c r="D38" t="s">
        <v>249</v>
      </c>
    </row>
    <row r="39" spans="2:8" x14ac:dyDescent="0.25">
      <c r="B39" s="5"/>
      <c r="C39" t="s">
        <v>158</v>
      </c>
      <c r="D39" t="s">
        <v>257</v>
      </c>
      <c r="E39" t="s">
        <v>259</v>
      </c>
      <c r="F39" t="s">
        <v>258</v>
      </c>
    </row>
    <row r="40" spans="2:8" x14ac:dyDescent="0.25">
      <c r="B40" s="5"/>
      <c r="C40" s="1" t="s">
        <v>157</v>
      </c>
      <c r="D40" s="10">
        <f>Setbacks!U4</f>
        <v>5.75</v>
      </c>
      <c r="E40" s="10">
        <f>D40-2</f>
        <v>3.75</v>
      </c>
      <c r="F40" s="10">
        <f>Setbacks!W4</f>
        <v>6</v>
      </c>
      <c r="G40" s="3"/>
    </row>
    <row r="41" spans="2:8" x14ac:dyDescent="0.25">
      <c r="B41" s="5"/>
      <c r="C41" s="1" t="s">
        <v>11</v>
      </c>
      <c r="D41" s="10">
        <f>Setbacks!U10</f>
        <v>15.7</v>
      </c>
      <c r="E41" s="10">
        <v>0</v>
      </c>
      <c r="F41" s="10">
        <f>Setbacks!W10</f>
        <v>11.2</v>
      </c>
      <c r="G41" s="3"/>
    </row>
    <row r="42" spans="2:8" x14ac:dyDescent="0.25">
      <c r="B42" s="5"/>
      <c r="C42" s="1" t="s">
        <v>15</v>
      </c>
      <c r="D42" s="10">
        <f>Setbacks!U16</f>
        <v>12</v>
      </c>
      <c r="E42" s="10">
        <v>0</v>
      </c>
      <c r="F42" s="10">
        <f>Setbacks!W16</f>
        <v>12</v>
      </c>
    </row>
    <row r="45" spans="2:8" x14ac:dyDescent="0.25">
      <c r="C45" t="s">
        <v>10</v>
      </c>
    </row>
    <row r="46" spans="2:8" x14ac:dyDescent="0.25">
      <c r="D46" t="s">
        <v>249</v>
      </c>
      <c r="G46" s="3"/>
    </row>
    <row r="47" spans="2:8" x14ac:dyDescent="0.25">
      <c r="C47" t="s">
        <v>158</v>
      </c>
      <c r="D47" t="s">
        <v>19</v>
      </c>
      <c r="E47" t="s">
        <v>255</v>
      </c>
      <c r="G47" s="3"/>
    </row>
    <row r="48" spans="2:8" x14ac:dyDescent="0.25">
      <c r="C48" s="1" t="s">
        <v>157</v>
      </c>
      <c r="D48" s="3">
        <f>Setbacks!T7*Setbacks!U7</f>
        <v>18.227499999999999</v>
      </c>
      <c r="E48" s="3">
        <f>Setbacks!V7*Setbacks!W7</f>
        <v>36</v>
      </c>
      <c r="F48" s="1"/>
    </row>
    <row r="49" spans="3:6" x14ac:dyDescent="0.25">
      <c r="C49" s="1" t="s">
        <v>11</v>
      </c>
      <c r="D49" s="3">
        <f>Setbacks!T14*Setbacks!U14</f>
        <v>31.320000000000004</v>
      </c>
      <c r="E49" s="3">
        <f>Setbacks!V14*Setbacks!W14</f>
        <v>39.715000000000003</v>
      </c>
      <c r="F49" s="1"/>
    </row>
    <row r="50" spans="3:6" x14ac:dyDescent="0.25">
      <c r="C50" s="1" t="s">
        <v>15</v>
      </c>
      <c r="D50" s="3">
        <f>Setbacks!T17*Setbacks!U17</f>
        <v>82.56</v>
      </c>
      <c r="E50" s="3">
        <f>Setbacks!V17*Setbacks!W17</f>
        <v>82.56</v>
      </c>
      <c r="F50" s="1"/>
    </row>
    <row r="52" spans="3:6" x14ac:dyDescent="0.25">
      <c r="D52" t="s">
        <v>249</v>
      </c>
    </row>
    <row r="53" spans="3:6" x14ac:dyDescent="0.25">
      <c r="C53" t="s">
        <v>158</v>
      </c>
      <c r="D53" t="s">
        <v>257</v>
      </c>
      <c r="E53" t="s">
        <v>259</v>
      </c>
      <c r="F53" t="s">
        <v>258</v>
      </c>
    </row>
    <row r="54" spans="3:6" x14ac:dyDescent="0.25">
      <c r="C54" s="1" t="s">
        <v>157</v>
      </c>
      <c r="D54" s="10">
        <v>5.75</v>
      </c>
      <c r="E54" s="10">
        <f>D54-2</f>
        <v>3.75</v>
      </c>
      <c r="F54" s="10">
        <v>6</v>
      </c>
    </row>
    <row r="55" spans="3:6" x14ac:dyDescent="0.25">
      <c r="C55" s="1" t="s">
        <v>11</v>
      </c>
      <c r="D55" s="10">
        <f>Setbacks!U14</f>
        <v>12</v>
      </c>
      <c r="E55" s="10">
        <v>0</v>
      </c>
      <c r="F55" s="10">
        <f>Setbacks!W14</f>
        <v>6.5</v>
      </c>
    </row>
    <row r="56" spans="3:6" x14ac:dyDescent="0.25">
      <c r="C56" s="1" t="s">
        <v>15</v>
      </c>
      <c r="D56" s="10">
        <f>Setbacks!U17</f>
        <v>12</v>
      </c>
      <c r="E56" s="10">
        <v>0</v>
      </c>
      <c r="F56" s="10">
        <f>Setbacks!W17</f>
        <v>12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2" workbookViewId="0">
      <selection activeCell="F4" sqref="F4"/>
    </sheetView>
  </sheetViews>
  <sheetFormatPr defaultRowHeight="15" x14ac:dyDescent="0.25"/>
  <cols>
    <col min="3" max="3" width="14.85546875" style="5" customWidth="1"/>
  </cols>
  <sheetData>
    <row r="2" spans="1:9" x14ac:dyDescent="0.25">
      <c r="F2" t="s">
        <v>232</v>
      </c>
    </row>
    <row r="3" spans="1:9" ht="45" x14ac:dyDescent="0.25">
      <c r="A3" t="s">
        <v>237</v>
      </c>
      <c r="B3" t="s">
        <v>238</v>
      </c>
      <c r="D3" t="s">
        <v>239</v>
      </c>
      <c r="E3" s="5" t="s">
        <v>223</v>
      </c>
      <c r="F3" s="5" t="s">
        <v>226</v>
      </c>
      <c r="G3" s="5" t="s">
        <v>231</v>
      </c>
      <c r="H3" s="5" t="s">
        <v>225</v>
      </c>
      <c r="I3" s="5" t="s">
        <v>247</v>
      </c>
    </row>
    <row r="4" spans="1:9" x14ac:dyDescent="0.25">
      <c r="A4">
        <v>2</v>
      </c>
      <c r="C4" s="40" t="s">
        <v>227</v>
      </c>
      <c r="D4">
        <v>1</v>
      </c>
      <c r="E4" s="3">
        <f>Setbacks!Q4</f>
        <v>281</v>
      </c>
      <c r="F4" s="3">
        <f>Setbacks!O4</f>
        <v>341.12</v>
      </c>
      <c r="G4" s="3">
        <f>Setbacks!R4</f>
        <v>218.6</v>
      </c>
      <c r="H4" s="3">
        <f>Setbacks!X4</f>
        <v>122.52000000000001</v>
      </c>
      <c r="I4" s="3">
        <f>F4-(H4+G4)</f>
        <v>0</v>
      </c>
    </row>
    <row r="5" spans="1:9" x14ac:dyDescent="0.25">
      <c r="A5">
        <v>2</v>
      </c>
      <c r="C5" s="40" t="s">
        <v>228</v>
      </c>
      <c r="D5">
        <v>2</v>
      </c>
      <c r="E5" s="3">
        <f>Setbacks!Q6</f>
        <v>149</v>
      </c>
      <c r="F5" s="3">
        <f>Setbacks!O6</f>
        <v>233.07000000000002</v>
      </c>
      <c r="G5" s="3">
        <f>Setbacks!R5</f>
        <v>125.4427799105128</v>
      </c>
      <c r="H5" s="3">
        <f>Setbacks!X6</f>
        <v>87.327500000000015</v>
      </c>
    </row>
    <row r="6" spans="1:9" x14ac:dyDescent="0.25">
      <c r="A6">
        <v>2</v>
      </c>
      <c r="C6" s="40" t="s">
        <v>229</v>
      </c>
      <c r="D6">
        <v>3</v>
      </c>
      <c r="E6" s="3">
        <f>Setbacks!Q7</f>
        <v>207</v>
      </c>
      <c r="F6" s="3">
        <f>Setbacks!O7</f>
        <v>192</v>
      </c>
      <c r="G6" s="3">
        <f>Setbacks!R7</f>
        <v>137.30000000000001</v>
      </c>
      <c r="H6" s="3">
        <f>Setbacks!X7</f>
        <v>54.7</v>
      </c>
      <c r="I6" s="3">
        <f>F6-(H6+G6)</f>
        <v>0</v>
      </c>
    </row>
    <row r="7" spans="1:9" x14ac:dyDescent="0.25">
      <c r="A7">
        <v>3</v>
      </c>
      <c r="C7" s="40" t="s">
        <v>230</v>
      </c>
      <c r="D7">
        <v>4</v>
      </c>
      <c r="E7" s="3">
        <f>Setbacks!Q8</f>
        <v>131</v>
      </c>
      <c r="F7" s="3">
        <f>Setbacks!O8</f>
        <v>108</v>
      </c>
      <c r="G7" s="3">
        <f>Setbacks!R8</f>
        <v>93.741977063416343</v>
      </c>
      <c r="H7" s="3">
        <f>Setbacks!X8</f>
        <v>17.25</v>
      </c>
    </row>
    <row r="11" spans="1:9" ht="45" x14ac:dyDescent="0.25">
      <c r="D11" t="s">
        <v>239</v>
      </c>
      <c r="E11" s="5" t="s">
        <v>223</v>
      </c>
      <c r="F11" s="5" t="s">
        <v>226</v>
      </c>
      <c r="G11" s="5" t="s">
        <v>231</v>
      </c>
      <c r="H11" s="5" t="s">
        <v>225</v>
      </c>
    </row>
    <row r="12" spans="1:9" x14ac:dyDescent="0.25">
      <c r="A12">
        <v>2</v>
      </c>
      <c r="B12" t="s">
        <v>233</v>
      </c>
      <c r="C12" s="5" t="s">
        <v>194</v>
      </c>
      <c r="D12">
        <v>1</v>
      </c>
      <c r="E12" s="3">
        <f>Setbacks!Q10</f>
        <v>232</v>
      </c>
      <c r="F12" s="3">
        <f>Setbacks!O10</f>
        <v>856</v>
      </c>
      <c r="G12" s="3">
        <f>Setbacks!R10</f>
        <v>323</v>
      </c>
      <c r="H12" s="3">
        <f>Setbacks!X10</f>
        <v>533</v>
      </c>
      <c r="I12" s="3">
        <f>F12-(H12+G12)</f>
        <v>0</v>
      </c>
    </row>
    <row r="13" spans="1:9" x14ac:dyDescent="0.25">
      <c r="A13">
        <v>1</v>
      </c>
      <c r="B13" t="s">
        <v>234</v>
      </c>
      <c r="C13" s="5" t="s">
        <v>194</v>
      </c>
      <c r="D13">
        <v>2</v>
      </c>
      <c r="E13">
        <f>Setbacks!Q12</f>
        <v>198</v>
      </c>
      <c r="F13" s="3">
        <f>Setbacks!O12</f>
        <v>1300</v>
      </c>
      <c r="G13">
        <f>Setbacks!R12</f>
        <v>425</v>
      </c>
      <c r="H13" s="3">
        <f>Setbacks!X12</f>
        <v>866.19</v>
      </c>
    </row>
    <row r="14" spans="1:9" x14ac:dyDescent="0.25">
      <c r="A14">
        <v>2</v>
      </c>
      <c r="B14" t="s">
        <v>235</v>
      </c>
      <c r="C14" s="5" t="s">
        <v>195</v>
      </c>
      <c r="D14">
        <v>3</v>
      </c>
      <c r="E14">
        <f>Setbacks!Q13</f>
        <v>140</v>
      </c>
      <c r="F14" s="3">
        <f>Setbacks!O13</f>
        <v>449.4</v>
      </c>
      <c r="G14">
        <f>Setbacks!R13</f>
        <v>157</v>
      </c>
      <c r="H14" s="3">
        <f>Setbacks!X13</f>
        <v>290.89999999999998</v>
      </c>
    </row>
    <row r="15" spans="1:9" x14ac:dyDescent="0.25">
      <c r="A15">
        <v>2</v>
      </c>
      <c r="B15" t="s">
        <v>236</v>
      </c>
      <c r="C15" s="5" t="s">
        <v>229</v>
      </c>
      <c r="D15">
        <v>4</v>
      </c>
      <c r="E15">
        <f>Setbacks!Q14</f>
        <v>144</v>
      </c>
      <c r="F15" s="3">
        <f>Setbacks!O14</f>
        <v>242.56700000000004</v>
      </c>
      <c r="G15">
        <f>Setbacks!R14</f>
        <v>156</v>
      </c>
      <c r="H15" s="3">
        <f>Setbacks!X14</f>
        <v>86.567000000000036</v>
      </c>
      <c r="I15" s="3">
        <f>F15-(H15+G15)</f>
        <v>0</v>
      </c>
    </row>
    <row r="17" spans="1:14" x14ac:dyDescent="0.25">
      <c r="A17">
        <v>2</v>
      </c>
      <c r="B17" t="s">
        <v>190</v>
      </c>
      <c r="C17" s="5" t="s">
        <v>194</v>
      </c>
      <c r="D17">
        <v>1</v>
      </c>
      <c r="E17">
        <f>Setbacks!Q16</f>
        <v>430</v>
      </c>
      <c r="F17" s="3">
        <f>Setbacks!O16</f>
        <v>808.3</v>
      </c>
      <c r="G17">
        <f>Setbacks!R16</f>
        <v>353</v>
      </c>
      <c r="H17" s="3">
        <f>Setbacks!X16</f>
        <v>455.29999999999995</v>
      </c>
      <c r="I17" s="3">
        <f>F17-(H17+G17)</f>
        <v>0</v>
      </c>
    </row>
    <row r="18" spans="1:14" x14ac:dyDescent="0.25">
      <c r="A18">
        <v>2</v>
      </c>
      <c r="B18" t="s">
        <v>240</v>
      </c>
      <c r="C18" s="5" t="s">
        <v>229</v>
      </c>
      <c r="D18">
        <v>2</v>
      </c>
      <c r="E18">
        <f>Setbacks!Q17</f>
        <v>99</v>
      </c>
      <c r="F18" s="3">
        <f>Setbacks!O17</f>
        <v>273.27999999999997</v>
      </c>
      <c r="G18">
        <f>Setbacks!R17</f>
        <v>150</v>
      </c>
      <c r="H18" s="3">
        <f>Setbacks!X17</f>
        <v>123.27999999999997</v>
      </c>
      <c r="I18" s="3">
        <f>F18-(H18+G18)</f>
        <v>0</v>
      </c>
    </row>
    <row r="22" spans="1:14" ht="60" x14ac:dyDescent="0.25">
      <c r="D22" t="s">
        <v>158</v>
      </c>
      <c r="E22" s="5" t="s">
        <v>241</v>
      </c>
      <c r="F22" s="5" t="s">
        <v>224</v>
      </c>
      <c r="G22" s="5" t="s">
        <v>242</v>
      </c>
      <c r="H22" s="5" t="s">
        <v>245</v>
      </c>
    </row>
    <row r="23" spans="1:14" x14ac:dyDescent="0.25">
      <c r="D23" s="1" t="s">
        <v>157</v>
      </c>
      <c r="E23" s="3">
        <f>E4</f>
        <v>281</v>
      </c>
      <c r="F23" s="3">
        <f>F4</f>
        <v>341.12</v>
      </c>
      <c r="G23" s="3">
        <f>G4</f>
        <v>218.6</v>
      </c>
      <c r="H23" s="3">
        <f>H4</f>
        <v>122.52000000000001</v>
      </c>
    </row>
    <row r="24" spans="1:14" x14ac:dyDescent="0.25">
      <c r="D24" s="1" t="s">
        <v>11</v>
      </c>
      <c r="E24" s="3">
        <f>E12</f>
        <v>232</v>
      </c>
      <c r="F24" s="3">
        <f>F12</f>
        <v>856</v>
      </c>
      <c r="G24" s="3">
        <f>G12</f>
        <v>323</v>
      </c>
      <c r="H24" s="3">
        <f>H12</f>
        <v>533</v>
      </c>
    </row>
    <row r="25" spans="1:14" x14ac:dyDescent="0.25">
      <c r="D25" s="1" t="s">
        <v>15</v>
      </c>
      <c r="E25">
        <f>E17</f>
        <v>430</v>
      </c>
      <c r="F25">
        <f>F17</f>
        <v>808.3</v>
      </c>
      <c r="G25">
        <f>G17</f>
        <v>353</v>
      </c>
      <c r="H25">
        <f>H17</f>
        <v>455.29999999999995</v>
      </c>
    </row>
    <row r="28" spans="1:14" ht="60" x14ac:dyDescent="0.25">
      <c r="D28" t="s">
        <v>158</v>
      </c>
      <c r="E28" s="5" t="s">
        <v>241</v>
      </c>
      <c r="F28" s="5" t="s">
        <v>224</v>
      </c>
      <c r="G28" s="5" t="s">
        <v>242</v>
      </c>
      <c r="H28" s="5" t="s">
        <v>245</v>
      </c>
    </row>
    <row r="29" spans="1:14" x14ac:dyDescent="0.25">
      <c r="D29" s="1" t="s">
        <v>157</v>
      </c>
      <c r="E29" s="3">
        <f>E6</f>
        <v>207</v>
      </c>
      <c r="F29" s="3">
        <f>F6</f>
        <v>192</v>
      </c>
      <c r="G29" s="3">
        <f>G6</f>
        <v>137.30000000000001</v>
      </c>
      <c r="H29" s="3">
        <f>H6</f>
        <v>54.7</v>
      </c>
      <c r="I29" s="3"/>
      <c r="M29" t="s">
        <v>261</v>
      </c>
    </row>
    <row r="30" spans="1:14" x14ac:dyDescent="0.25">
      <c r="D30" s="1" t="s">
        <v>243</v>
      </c>
      <c r="E30" s="3">
        <f>E15</f>
        <v>144</v>
      </c>
      <c r="F30" s="3">
        <f>F15</f>
        <v>242.56700000000004</v>
      </c>
      <c r="G30" s="3">
        <f>G15</f>
        <v>156</v>
      </c>
      <c r="H30" s="3">
        <f>H15</f>
        <v>86.567000000000036</v>
      </c>
      <c r="L30" t="s">
        <v>262</v>
      </c>
      <c r="M30">
        <f>H4/H12</f>
        <v>0.22986866791744842</v>
      </c>
      <c r="N30">
        <f>H6/H15</f>
        <v>0.63188050873889567</v>
      </c>
    </row>
    <row r="31" spans="1:14" x14ac:dyDescent="0.25">
      <c r="D31" s="1" t="s">
        <v>244</v>
      </c>
      <c r="E31">
        <f>E18</f>
        <v>99</v>
      </c>
      <c r="F31">
        <f>F18</f>
        <v>273.27999999999997</v>
      </c>
      <c r="G31">
        <f>G18</f>
        <v>150</v>
      </c>
      <c r="H31">
        <f>H18</f>
        <v>123.27999999999997</v>
      </c>
      <c r="L31" t="s">
        <v>222</v>
      </c>
      <c r="M31">
        <f>H4/H17</f>
        <v>0.26909729848451575</v>
      </c>
      <c r="N31">
        <f>H6/H18</f>
        <v>0.44370538611291382</v>
      </c>
    </row>
    <row r="33" spans="6:13" x14ac:dyDescent="0.25">
      <c r="M33" s="45" t="s">
        <v>263</v>
      </c>
    </row>
    <row r="36" spans="6:13" x14ac:dyDescent="0.25">
      <c r="F36">
        <f>341/825</f>
        <v>0.41333333333333333</v>
      </c>
      <c r="G36">
        <f>123/500</f>
        <v>0.246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workbookViewId="0">
      <selection activeCell="Q18" sqref="Q18"/>
    </sheetView>
  </sheetViews>
  <sheetFormatPr defaultRowHeight="15" x14ac:dyDescent="0.25"/>
  <cols>
    <col min="1" max="1" width="19.28515625" customWidth="1"/>
    <col min="2" max="2" width="19.5703125" customWidth="1"/>
    <col min="3" max="3" width="20.7109375" style="5" customWidth="1"/>
    <col min="10" max="10" width="10.28515625" bestFit="1" customWidth="1"/>
    <col min="11" max="11" width="10.28515625" customWidth="1"/>
    <col min="12" max="12" width="10.7109375" bestFit="1" customWidth="1"/>
    <col min="13" max="13" width="9.7109375" customWidth="1"/>
    <col min="14" max="14" width="9.140625" style="5"/>
    <col min="15" max="15" width="8" bestFit="1" customWidth="1"/>
    <col min="16" max="17" width="8.5703125" customWidth="1"/>
  </cols>
  <sheetData>
    <row r="1" spans="1:25" ht="30" customHeight="1" x14ac:dyDescent="0.25">
      <c r="S1" s="48" t="s">
        <v>2</v>
      </c>
      <c r="T1" s="48"/>
      <c r="U1" s="48"/>
      <c r="V1" s="48"/>
      <c r="W1" s="48"/>
      <c r="X1" s="48"/>
      <c r="Y1" t="s">
        <v>4</v>
      </c>
    </row>
    <row r="2" spans="1:25" ht="30" customHeight="1" x14ac:dyDescent="0.25">
      <c r="D2" s="47" t="s">
        <v>23</v>
      </c>
      <c r="E2" s="47"/>
      <c r="F2" s="47"/>
      <c r="G2" s="47" t="s">
        <v>20</v>
      </c>
      <c r="H2" s="47"/>
      <c r="I2" s="47"/>
      <c r="J2" s="47"/>
      <c r="K2" s="47"/>
      <c r="L2" s="47"/>
      <c r="M2" s="47"/>
      <c r="N2" s="48" t="s">
        <v>200</v>
      </c>
      <c r="O2" s="48"/>
      <c r="P2" s="48"/>
      <c r="Q2" s="48"/>
      <c r="R2" s="48"/>
      <c r="S2" s="5"/>
      <c r="T2" s="47" t="s">
        <v>197</v>
      </c>
      <c r="U2" s="47"/>
      <c r="V2" s="47" t="s">
        <v>28</v>
      </c>
      <c r="W2" s="47"/>
    </row>
    <row r="3" spans="1:25" ht="75" x14ac:dyDescent="0.25">
      <c r="A3" t="s">
        <v>50</v>
      </c>
      <c r="B3" t="s">
        <v>185</v>
      </c>
      <c r="C3" s="5" t="s">
        <v>184</v>
      </c>
      <c r="D3" t="s">
        <v>8</v>
      </c>
      <c r="E3" t="s">
        <v>9</v>
      </c>
      <c r="F3" t="s">
        <v>198</v>
      </c>
      <c r="G3" t="s">
        <v>24</v>
      </c>
      <c r="H3" s="5" t="s">
        <v>42</v>
      </c>
      <c r="I3" s="5" t="s">
        <v>51</v>
      </c>
      <c r="J3" s="5" t="s">
        <v>174</v>
      </c>
      <c r="K3" s="5" t="s">
        <v>168</v>
      </c>
      <c r="L3" t="s">
        <v>26</v>
      </c>
      <c r="M3" s="5" t="s">
        <v>52</v>
      </c>
      <c r="N3" s="5" t="s">
        <v>53</v>
      </c>
      <c r="O3" s="5" t="s">
        <v>54</v>
      </c>
      <c r="P3" s="5" t="s">
        <v>201</v>
      </c>
      <c r="Q3" s="5" t="s">
        <v>202</v>
      </c>
      <c r="R3" s="5" t="s">
        <v>137</v>
      </c>
      <c r="S3" s="5" t="s">
        <v>45</v>
      </c>
      <c r="T3" t="s">
        <v>12</v>
      </c>
      <c r="U3" t="s">
        <v>43</v>
      </c>
      <c r="V3" t="s">
        <v>12</v>
      </c>
      <c r="W3" t="s">
        <v>9</v>
      </c>
      <c r="X3" s="5" t="s">
        <v>154</v>
      </c>
    </row>
    <row r="4" spans="1:25" x14ac:dyDescent="0.25">
      <c r="A4" t="s">
        <v>157</v>
      </c>
      <c r="C4" s="5" t="s">
        <v>36</v>
      </c>
      <c r="D4">
        <v>10.66</v>
      </c>
      <c r="E4">
        <v>28</v>
      </c>
      <c r="F4" s="3">
        <f>E4*D4</f>
        <v>298.48</v>
      </c>
      <c r="G4">
        <v>4</v>
      </c>
      <c r="H4">
        <v>2</v>
      </c>
      <c r="I4">
        <v>3.75</v>
      </c>
      <c r="J4">
        <f>I4+G4-H4</f>
        <v>5.75</v>
      </c>
      <c r="K4">
        <f>I4+G4</f>
        <v>7.75</v>
      </c>
      <c r="L4">
        <v>1.8</v>
      </c>
      <c r="M4">
        <v>6</v>
      </c>
      <c r="N4" s="14">
        <f>D4*E4</f>
        <v>298.48</v>
      </c>
      <c r="O4" s="3">
        <f>(D4*G4)+N4</f>
        <v>341.12</v>
      </c>
      <c r="P4" s="3">
        <f>(S36/T36)*R4</f>
        <v>154.79633918305396</v>
      </c>
      <c r="Q4" s="3">
        <v>281</v>
      </c>
      <c r="R4" s="3">
        <f>218.6</f>
        <v>218.6</v>
      </c>
      <c r="S4" s="12">
        <f>X4/O4</f>
        <v>0.35916979362101314</v>
      </c>
      <c r="T4" s="2">
        <v>4.7270000000000003</v>
      </c>
      <c r="U4" s="10">
        <f>I4+G4-H4</f>
        <v>5.75</v>
      </c>
      <c r="V4">
        <v>10.66</v>
      </c>
      <c r="W4">
        <v>6</v>
      </c>
      <c r="X4" s="3">
        <f>O4-R4</f>
        <v>122.52000000000001</v>
      </c>
    </row>
    <row r="5" spans="1:25" ht="30" x14ac:dyDescent="0.25">
      <c r="C5" s="42" t="s">
        <v>192</v>
      </c>
      <c r="D5">
        <v>9.14</v>
      </c>
      <c r="E5">
        <v>28</v>
      </c>
      <c r="F5" s="3">
        <f>E5*D5</f>
        <v>255.92000000000002</v>
      </c>
      <c r="G5">
        <v>4</v>
      </c>
      <c r="H5">
        <v>2</v>
      </c>
      <c r="I5">
        <v>3.75</v>
      </c>
      <c r="J5">
        <f t="shared" ref="J5:J8" si="0">I5+G5-H5</f>
        <v>5.75</v>
      </c>
      <c r="K5">
        <f>I5+G5</f>
        <v>7.75</v>
      </c>
      <c r="L5">
        <v>1.8</v>
      </c>
      <c r="M5">
        <v>12.5</v>
      </c>
      <c r="N5" s="14">
        <f>D5*E5</f>
        <v>255.92000000000002</v>
      </c>
      <c r="O5" s="3">
        <f>(D5*G5)+N5</f>
        <v>292.48</v>
      </c>
      <c r="P5" s="3">
        <f>(S37/T37)*R5</f>
        <v>83.082377254264813</v>
      </c>
      <c r="Q5" s="3">
        <v>149</v>
      </c>
      <c r="R5" s="3">
        <f>O5*U37</f>
        <v>125.4427799105128</v>
      </c>
      <c r="S5" s="12">
        <f>V37</f>
        <v>0.57110646912434082</v>
      </c>
      <c r="T5" s="2">
        <v>5.65</v>
      </c>
      <c r="U5" s="10">
        <f>I5+G5-H5</f>
        <v>5.75</v>
      </c>
      <c r="V5">
        <v>9.14</v>
      </c>
      <c r="W5">
        <v>12.5</v>
      </c>
      <c r="X5" s="3">
        <f>(T5*U5)+(V5*W5)</f>
        <v>146.73750000000001</v>
      </c>
    </row>
    <row r="6" spans="1:25" ht="30" x14ac:dyDescent="0.25">
      <c r="C6" s="42" t="s">
        <v>193</v>
      </c>
      <c r="D6">
        <v>9.14</v>
      </c>
      <c r="E6">
        <f>E5-(M5-M6)</f>
        <v>21.5</v>
      </c>
      <c r="F6" s="3">
        <f>E6*D6</f>
        <v>196.51000000000002</v>
      </c>
      <c r="G6">
        <v>4</v>
      </c>
      <c r="H6">
        <v>2</v>
      </c>
      <c r="I6">
        <v>3.75</v>
      </c>
      <c r="J6">
        <f t="shared" si="0"/>
        <v>5.75</v>
      </c>
      <c r="K6">
        <f>I6+G6</f>
        <v>7.75</v>
      </c>
      <c r="L6">
        <v>1.8</v>
      </c>
      <c r="M6">
        <v>6</v>
      </c>
      <c r="N6" s="14">
        <f>D6*E6</f>
        <v>196.51000000000002</v>
      </c>
      <c r="O6" s="3">
        <f>(D6*G6)+N6</f>
        <v>233.07000000000002</v>
      </c>
      <c r="P6" s="3">
        <f>(S38/T38)*R6</f>
        <v>86.222118255152736</v>
      </c>
      <c r="Q6" s="3">
        <v>149</v>
      </c>
      <c r="R6" s="3">
        <f>O6*U38</f>
        <v>130.18335008154963</v>
      </c>
      <c r="S6" s="12">
        <f>V38</f>
        <v>0.44144098304565316</v>
      </c>
      <c r="T6" s="2">
        <v>5.65</v>
      </c>
      <c r="U6" s="10">
        <f>I6+G6-H6</f>
        <v>5.75</v>
      </c>
      <c r="V6">
        <v>9.14</v>
      </c>
      <c r="W6">
        <v>6</v>
      </c>
      <c r="X6" s="3">
        <f>(T6*U6)+(V6*W6)</f>
        <v>87.327500000000015</v>
      </c>
    </row>
    <row r="7" spans="1:25" x14ac:dyDescent="0.25">
      <c r="C7" s="5" t="s">
        <v>40</v>
      </c>
      <c r="D7">
        <v>6</v>
      </c>
      <c r="E7">
        <f>28</f>
        <v>28</v>
      </c>
      <c r="F7" s="3">
        <f>E7*D7</f>
        <v>168</v>
      </c>
      <c r="G7">
        <v>4</v>
      </c>
      <c r="H7">
        <v>2</v>
      </c>
      <c r="I7">
        <v>3.75</v>
      </c>
      <c r="J7">
        <f t="shared" si="0"/>
        <v>5.75</v>
      </c>
      <c r="K7">
        <f>I7+G7</f>
        <v>7.75</v>
      </c>
      <c r="L7">
        <v>0</v>
      </c>
      <c r="M7">
        <v>6</v>
      </c>
      <c r="N7" s="14">
        <f>D7*E7</f>
        <v>168</v>
      </c>
      <c r="O7" s="3">
        <f>(D7*G7)+N7</f>
        <v>192</v>
      </c>
      <c r="P7" s="3">
        <f>(S39/T39)*R7</f>
        <v>103.22813625570963</v>
      </c>
      <c r="Q7" s="3">
        <v>207</v>
      </c>
      <c r="R7" s="3">
        <f>O7-X7</f>
        <v>137.30000000000001</v>
      </c>
      <c r="S7" s="12">
        <f>X7/O7</f>
        <v>0.28489583333333335</v>
      </c>
      <c r="T7" s="3">
        <v>3.17</v>
      </c>
      <c r="U7" s="10">
        <f>I7+G7-H7</f>
        <v>5.75</v>
      </c>
      <c r="V7">
        <f>D7</f>
        <v>6</v>
      </c>
      <c r="W7">
        <v>6</v>
      </c>
      <c r="X7" s="3">
        <v>54.7</v>
      </c>
    </row>
    <row r="8" spans="1:25" ht="30" x14ac:dyDescent="0.25">
      <c r="C8" s="42" t="s">
        <v>30</v>
      </c>
      <c r="D8">
        <v>6</v>
      </c>
      <c r="E8">
        <f>28/2</f>
        <v>14</v>
      </c>
      <c r="F8" s="3">
        <f>E8*D8</f>
        <v>84</v>
      </c>
      <c r="G8">
        <v>4</v>
      </c>
      <c r="H8">
        <v>2</v>
      </c>
      <c r="I8">
        <v>3.75</v>
      </c>
      <c r="J8">
        <f t="shared" si="0"/>
        <v>5.75</v>
      </c>
      <c r="K8">
        <f>I8+G8</f>
        <v>7.75</v>
      </c>
      <c r="L8">
        <v>0</v>
      </c>
      <c r="M8" s="3">
        <f>6*(0.65/0.95)</f>
        <v>4.1052631578947372</v>
      </c>
      <c r="N8" s="14">
        <f>D8*E8</f>
        <v>84</v>
      </c>
      <c r="O8" s="3">
        <f>(D8*G8)+N8</f>
        <v>108</v>
      </c>
      <c r="P8" s="3">
        <f>(S40/T40)*R8</f>
        <v>49.969267314394756</v>
      </c>
      <c r="Q8" s="3">
        <v>131</v>
      </c>
      <c r="R8" s="3">
        <f>O8*U40</f>
        <v>93.741977063416343</v>
      </c>
      <c r="S8" s="12">
        <f>V40</f>
        <v>0.13201873089429317</v>
      </c>
      <c r="T8" s="2">
        <v>3</v>
      </c>
      <c r="U8" s="10">
        <f>I8+G8-H8</f>
        <v>5.75</v>
      </c>
      <c r="V8">
        <v>0</v>
      </c>
      <c r="W8">
        <v>0</v>
      </c>
      <c r="X8" s="3">
        <f>(T8*U8)+(V8*W8)</f>
        <v>17.25</v>
      </c>
    </row>
    <row r="9" spans="1:25" x14ac:dyDescent="0.25">
      <c r="A9" t="s">
        <v>11</v>
      </c>
      <c r="F9" s="3"/>
      <c r="X9" s="3"/>
    </row>
    <row r="10" spans="1:25" x14ac:dyDescent="0.25">
      <c r="B10" t="s">
        <v>219</v>
      </c>
      <c r="C10" t="s">
        <v>220</v>
      </c>
      <c r="D10">
        <v>22</v>
      </c>
      <c r="E10">
        <v>30</v>
      </c>
      <c r="F10">
        <f>E10*D10</f>
        <v>660</v>
      </c>
      <c r="G10">
        <v>9.5</v>
      </c>
      <c r="I10">
        <v>6.2</v>
      </c>
      <c r="J10">
        <f>I10+G10</f>
        <v>15.7</v>
      </c>
      <c r="K10">
        <f>J10+H10</f>
        <v>15.7</v>
      </c>
      <c r="L10">
        <v>4</v>
      </c>
      <c r="M10">
        <v>11.2</v>
      </c>
      <c r="N10">
        <f>D10*E10</f>
        <v>660</v>
      </c>
      <c r="O10">
        <v>856</v>
      </c>
      <c r="P10">
        <v>190</v>
      </c>
      <c r="Q10">
        <v>232</v>
      </c>
      <c r="R10">
        <v>323</v>
      </c>
      <c r="S10">
        <f>(O10-R10)/O10</f>
        <v>0.62266355140186913</v>
      </c>
      <c r="T10">
        <f>D10</f>
        <v>22</v>
      </c>
      <c r="U10">
        <f>G10+I10</f>
        <v>15.7</v>
      </c>
      <c r="V10">
        <v>22</v>
      </c>
      <c r="W10">
        <f>M10</f>
        <v>11.2</v>
      </c>
      <c r="X10">
        <f>O10-R10</f>
        <v>533</v>
      </c>
    </row>
    <row r="11" spans="1:25" x14ac:dyDescent="0.25">
      <c r="B11" t="s">
        <v>186</v>
      </c>
      <c r="C11" s="42" t="s">
        <v>194</v>
      </c>
      <c r="D11">
        <v>30.2</v>
      </c>
      <c r="E11">
        <v>29</v>
      </c>
      <c r="F11" s="3">
        <f>E11*D11</f>
        <v>875.8</v>
      </c>
      <c r="G11">
        <v>6</v>
      </c>
      <c r="I11">
        <v>10.5</v>
      </c>
      <c r="J11">
        <f>I11+G11</f>
        <v>16.5</v>
      </c>
      <c r="K11">
        <f>I11+G11</f>
        <v>16.5</v>
      </c>
      <c r="L11">
        <f>1.4+5.5</f>
        <v>6.9</v>
      </c>
      <c r="M11">
        <v>8</v>
      </c>
      <c r="N11" s="14">
        <f>D11*E11</f>
        <v>875.8</v>
      </c>
      <c r="O11" s="3">
        <f>(D11*G11)+N11</f>
        <v>1057</v>
      </c>
      <c r="P11" s="3">
        <v>294</v>
      </c>
      <c r="Q11" s="3">
        <v>181</v>
      </c>
      <c r="R11" s="3">
        <v>332</v>
      </c>
      <c r="S11" s="12">
        <f>(O11-R11)/O11</f>
        <v>0.68590350047303694</v>
      </c>
      <c r="T11" s="2">
        <f>30.2-6</f>
        <v>24.2</v>
      </c>
      <c r="U11" s="10">
        <f>I11+G11-H11</f>
        <v>16.5</v>
      </c>
      <c r="V11">
        <v>21</v>
      </c>
      <c r="W11">
        <v>8</v>
      </c>
      <c r="X11" s="3">
        <f>(T11*U11)+(V11*W11)</f>
        <v>567.29999999999995</v>
      </c>
    </row>
    <row r="12" spans="1:25" x14ac:dyDescent="0.25">
      <c r="B12" t="s">
        <v>187</v>
      </c>
      <c r="C12" s="42" t="s">
        <v>194</v>
      </c>
      <c r="D12">
        <v>21.3</v>
      </c>
      <c r="E12">
        <v>54.3</v>
      </c>
      <c r="F12" s="3">
        <f>E12*D12</f>
        <v>1156.5899999999999</v>
      </c>
      <c r="G12">
        <v>6</v>
      </c>
      <c r="I12">
        <v>18.100000000000001</v>
      </c>
      <c r="J12">
        <f>I12+G12</f>
        <v>24.1</v>
      </c>
      <c r="K12">
        <f>I12+G12</f>
        <v>24.1</v>
      </c>
      <c r="L12">
        <v>1.6</v>
      </c>
      <c r="M12">
        <v>23</v>
      </c>
      <c r="N12" s="14">
        <f>E12*D12</f>
        <v>1156.5899999999999</v>
      </c>
      <c r="O12" s="5">
        <v>1300</v>
      </c>
      <c r="P12" s="5">
        <v>340</v>
      </c>
      <c r="Q12" s="5">
        <v>198</v>
      </c>
      <c r="R12">
        <v>425</v>
      </c>
      <c r="S12" s="12">
        <f>(O12-R12)/O12</f>
        <v>0.67307692307692313</v>
      </c>
      <c r="T12">
        <f>D12-5.4</f>
        <v>15.9</v>
      </c>
      <c r="U12" s="10">
        <f>I12+G12-H12</f>
        <v>24.1</v>
      </c>
      <c r="V12">
        <v>21</v>
      </c>
      <c r="W12">
        <f>M12</f>
        <v>23</v>
      </c>
      <c r="X12" s="3">
        <f>(T12*U12)+(V12*W12)</f>
        <v>866.19</v>
      </c>
    </row>
    <row r="13" spans="1:25" s="33" customFormat="1" x14ac:dyDescent="0.25">
      <c r="B13" s="33" t="s">
        <v>188</v>
      </c>
      <c r="C13" s="42" t="s">
        <v>195</v>
      </c>
      <c r="D13" s="33">
        <v>10.7</v>
      </c>
      <c r="E13" s="33">
        <v>38</v>
      </c>
      <c r="F13" s="3">
        <f>E13*D13</f>
        <v>406.59999999999997</v>
      </c>
      <c r="G13" s="33">
        <v>4</v>
      </c>
      <c r="I13" s="33">
        <v>8</v>
      </c>
      <c r="J13" s="33">
        <f>I13+G13</f>
        <v>12</v>
      </c>
      <c r="K13" s="33">
        <f>I13+G13</f>
        <v>12</v>
      </c>
      <c r="L13" s="33">
        <v>1</v>
      </c>
      <c r="M13" s="33">
        <v>19</v>
      </c>
      <c r="N13" s="35">
        <f>E13*D13</f>
        <v>406.59999999999997</v>
      </c>
      <c r="O13" s="34">
        <f>N13+(G13*D13)</f>
        <v>449.4</v>
      </c>
      <c r="P13" s="34">
        <v>106</v>
      </c>
      <c r="Q13" s="34">
        <v>140</v>
      </c>
      <c r="R13" s="33">
        <f>P13+51</f>
        <v>157</v>
      </c>
      <c r="S13" s="36">
        <f>(O13-R13)/O13</f>
        <v>0.65064530485091232</v>
      </c>
      <c r="T13" s="33">
        <f>D13-3.4</f>
        <v>7.2999999999999989</v>
      </c>
      <c r="U13" s="37">
        <f>I13+G13-H13</f>
        <v>12</v>
      </c>
      <c r="V13" s="33">
        <v>10.7</v>
      </c>
      <c r="W13" s="33">
        <f>M13</f>
        <v>19</v>
      </c>
      <c r="X13" s="38">
        <f>(T13*U13)+(V13*W13)</f>
        <v>290.89999999999998</v>
      </c>
    </row>
    <row r="14" spans="1:25" x14ac:dyDescent="0.25">
      <c r="B14" t="s">
        <v>189</v>
      </c>
      <c r="C14" t="s">
        <v>40</v>
      </c>
      <c r="D14">
        <v>6.11</v>
      </c>
      <c r="E14">
        <v>35.700000000000003</v>
      </c>
      <c r="F14">
        <f>E14*D14</f>
        <v>218.12700000000004</v>
      </c>
      <c r="G14">
        <v>4</v>
      </c>
      <c r="I14">
        <v>8</v>
      </c>
      <c r="J14">
        <f>I14+G14</f>
        <v>12</v>
      </c>
      <c r="K14">
        <f>I14+G14</f>
        <v>12</v>
      </c>
      <c r="L14">
        <v>0</v>
      </c>
      <c r="M14">
        <v>6.5</v>
      </c>
      <c r="N14">
        <f>E14*D14</f>
        <v>218.12700000000004</v>
      </c>
      <c r="O14">
        <f>N14+(G14*D14)</f>
        <v>242.56700000000004</v>
      </c>
      <c r="P14">
        <v>100</v>
      </c>
      <c r="Q14">
        <v>144</v>
      </c>
      <c r="R14">
        <f>P14+56</f>
        <v>156</v>
      </c>
      <c r="S14">
        <f>X14/O14</f>
        <v>0.35687871804491139</v>
      </c>
      <c r="T14">
        <f>D14-3.5</f>
        <v>2.6100000000000003</v>
      </c>
      <c r="U14">
        <f>I14+G14-H14</f>
        <v>12</v>
      </c>
      <c r="V14">
        <f>D14</f>
        <v>6.11</v>
      </c>
      <c r="W14">
        <f>M14</f>
        <v>6.5</v>
      </c>
      <c r="X14">
        <f>O14-R14</f>
        <v>86.567000000000036</v>
      </c>
    </row>
    <row r="15" spans="1:25" x14ac:dyDescent="0.25">
      <c r="A15" t="s">
        <v>15</v>
      </c>
      <c r="F15" s="3"/>
      <c r="X15" s="3"/>
    </row>
    <row r="16" spans="1:25" s="17" customFormat="1" x14ac:dyDescent="0.25">
      <c r="B16" s="17" t="s">
        <v>190</v>
      </c>
      <c r="C16" s="41" t="s">
        <v>194</v>
      </c>
      <c r="D16" s="17">
        <v>23</v>
      </c>
      <c r="E16" s="17">
        <v>36</v>
      </c>
      <c r="F16" s="43">
        <f>E16*D16</f>
        <v>828</v>
      </c>
      <c r="G16" s="17">
        <v>5.4</v>
      </c>
      <c r="I16" s="17">
        <v>6.6</v>
      </c>
      <c r="J16" s="17">
        <f>I16+G16</f>
        <v>12</v>
      </c>
      <c r="K16" s="17">
        <f>I16+G16</f>
        <v>12</v>
      </c>
      <c r="L16" s="17">
        <v>3.5</v>
      </c>
      <c r="M16" s="17">
        <v>12</v>
      </c>
      <c r="N16" s="41">
        <v>688.95</v>
      </c>
      <c r="O16" s="43">
        <v>808.3</v>
      </c>
      <c r="P16" s="17">
        <f>353-48</f>
        <v>305</v>
      </c>
      <c r="Q16" s="17">
        <v>430</v>
      </c>
      <c r="R16" s="17">
        <v>353</v>
      </c>
      <c r="S16" s="44">
        <f>(O16-R16)/O16</f>
        <v>0.56328096003958927</v>
      </c>
      <c r="T16" s="17">
        <f>D16-5</f>
        <v>18</v>
      </c>
      <c r="U16" s="17">
        <f>I16+G16</f>
        <v>12</v>
      </c>
      <c r="V16" s="17">
        <f>D16</f>
        <v>23</v>
      </c>
      <c r="W16" s="17">
        <f>M16</f>
        <v>12</v>
      </c>
      <c r="X16" s="43">
        <f>O16-R16</f>
        <v>455.29999999999995</v>
      </c>
    </row>
    <row r="17" spans="1:24" x14ac:dyDescent="0.25">
      <c r="B17" t="s">
        <v>191</v>
      </c>
      <c r="C17" s="5" t="s">
        <v>196</v>
      </c>
      <c r="D17">
        <v>6.88</v>
      </c>
      <c r="E17">
        <v>33</v>
      </c>
      <c r="F17" s="3">
        <f>E17*D17</f>
        <v>227.04</v>
      </c>
      <c r="G17">
        <v>6</v>
      </c>
      <c r="I17">
        <v>6</v>
      </c>
      <c r="J17">
        <f>I17+G17</f>
        <v>12</v>
      </c>
      <c r="K17">
        <f>I17+G17</f>
        <v>12</v>
      </c>
      <c r="L17">
        <v>0</v>
      </c>
      <c r="M17">
        <v>12</v>
      </c>
      <c r="N17" s="5">
        <v>232</v>
      </c>
      <c r="O17" s="3">
        <f>(D17*G17)+N17</f>
        <v>273.27999999999997</v>
      </c>
      <c r="P17">
        <v>100</v>
      </c>
      <c r="Q17">
        <v>99</v>
      </c>
      <c r="R17">
        <v>150</v>
      </c>
      <c r="S17" s="12">
        <f>(O17-R17)/O17</f>
        <v>0.45111241217798587</v>
      </c>
      <c r="T17">
        <f>D17</f>
        <v>6.88</v>
      </c>
      <c r="U17">
        <f>M17</f>
        <v>12</v>
      </c>
      <c r="V17">
        <f>D17</f>
        <v>6.88</v>
      </c>
      <c r="W17">
        <f>M17</f>
        <v>12</v>
      </c>
      <c r="X17" s="3">
        <f>O17-R17</f>
        <v>123.27999999999997</v>
      </c>
    </row>
    <row r="18" spans="1:24" x14ac:dyDescent="0.25">
      <c r="O18" s="3"/>
      <c r="S18" s="12"/>
      <c r="X18" s="3"/>
    </row>
    <row r="19" spans="1:24" x14ac:dyDescent="0.25">
      <c r="C19" s="20" t="s">
        <v>144</v>
      </c>
    </row>
    <row r="20" spans="1:24" x14ac:dyDescent="0.25">
      <c r="C20" s="20" t="s">
        <v>139</v>
      </c>
    </row>
    <row r="21" spans="1:24" x14ac:dyDescent="0.25">
      <c r="C21" s="19" t="s">
        <v>140</v>
      </c>
    </row>
    <row r="22" spans="1:24" x14ac:dyDescent="0.25">
      <c r="C22" s="19" t="s">
        <v>142</v>
      </c>
    </row>
    <row r="23" spans="1:24" x14ac:dyDescent="0.25">
      <c r="C23" s="19" t="s">
        <v>141</v>
      </c>
    </row>
    <row r="24" spans="1:24" x14ac:dyDescent="0.25">
      <c r="C24" s="19" t="s">
        <v>143</v>
      </c>
    </row>
    <row r="25" spans="1:24" x14ac:dyDescent="0.25">
      <c r="A25" t="s">
        <v>25</v>
      </c>
      <c r="C25" s="19"/>
    </row>
    <row r="26" spans="1:24" ht="45" x14ac:dyDescent="0.25">
      <c r="A26" t="s">
        <v>31</v>
      </c>
      <c r="C26" s="42" t="s">
        <v>248</v>
      </c>
    </row>
    <row r="27" spans="1:24" x14ac:dyDescent="0.25">
      <c r="A27" t="s">
        <v>48</v>
      </c>
    </row>
    <row r="28" spans="1:24" x14ac:dyDescent="0.25">
      <c r="A28" t="s">
        <v>49</v>
      </c>
    </row>
    <row r="29" spans="1:24" x14ac:dyDescent="0.25">
      <c r="A29" t="s">
        <v>44</v>
      </c>
    </row>
    <row r="30" spans="1:24" x14ac:dyDescent="0.25">
      <c r="A30" t="s">
        <v>46</v>
      </c>
    </row>
    <row r="31" spans="1:24" x14ac:dyDescent="0.25">
      <c r="A31" t="s">
        <v>47</v>
      </c>
    </row>
    <row r="32" spans="1:24" x14ac:dyDescent="0.25">
      <c r="A32" s="5" t="s">
        <v>24</v>
      </c>
      <c r="B32" s="5"/>
      <c r="C32" t="s">
        <v>136</v>
      </c>
    </row>
    <row r="33" spans="1:22" x14ac:dyDescent="0.25">
      <c r="A33" t="s">
        <v>138</v>
      </c>
      <c r="H33" s="47" t="s">
        <v>3</v>
      </c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V33" s="11" t="s">
        <v>2</v>
      </c>
    </row>
    <row r="34" spans="1:22" x14ac:dyDescent="0.25">
      <c r="D34" s="47" t="s">
        <v>33</v>
      </c>
      <c r="E34" s="47"/>
      <c r="F34" s="47"/>
      <c r="G34" s="47"/>
      <c r="H34" s="47" t="s">
        <v>34</v>
      </c>
      <c r="I34" s="47"/>
      <c r="J34" s="47"/>
      <c r="K34" s="15"/>
      <c r="L34" t="s">
        <v>39</v>
      </c>
      <c r="O34" s="47" t="s">
        <v>35</v>
      </c>
      <c r="P34" s="47"/>
      <c r="Q34" s="47"/>
      <c r="R34" s="47"/>
      <c r="S34" s="47"/>
    </row>
    <row r="35" spans="1:22" x14ac:dyDescent="0.25">
      <c r="D35" t="s">
        <v>12</v>
      </c>
      <c r="E35" t="s">
        <v>9</v>
      </c>
      <c r="G35" t="s">
        <v>27</v>
      </c>
      <c r="H35" t="s">
        <v>12</v>
      </c>
      <c r="I35" t="s">
        <v>9</v>
      </c>
      <c r="J35" t="s">
        <v>27</v>
      </c>
      <c r="L35" t="s">
        <v>12</v>
      </c>
      <c r="M35" t="s">
        <v>9</v>
      </c>
      <c r="N35" t="s">
        <v>27</v>
      </c>
      <c r="O35" t="s">
        <v>12</v>
      </c>
      <c r="R35" t="s">
        <v>9</v>
      </c>
      <c r="S35" s="5" t="s">
        <v>27</v>
      </c>
      <c r="T35" t="s">
        <v>14</v>
      </c>
      <c r="U35" t="s">
        <v>18</v>
      </c>
      <c r="V35" t="s">
        <v>18</v>
      </c>
    </row>
    <row r="36" spans="1:22" x14ac:dyDescent="0.25">
      <c r="A36" t="s">
        <v>32</v>
      </c>
      <c r="C36" s="5" t="s">
        <v>36</v>
      </c>
      <c r="D36" s="10">
        <v>1.2350000000000001</v>
      </c>
      <c r="E36" s="10">
        <v>3.6930000000000001</v>
      </c>
      <c r="F36" s="10"/>
      <c r="G36" s="10">
        <f>D36*E36</f>
        <v>4.5608550000000001</v>
      </c>
      <c r="H36" s="10">
        <v>0.69899999999999995</v>
      </c>
      <c r="I36" s="10">
        <v>0.89900000000000002</v>
      </c>
      <c r="J36" s="10">
        <f>I36*H36</f>
        <v>0.62840099999999999</v>
      </c>
      <c r="K36" s="10"/>
      <c r="L36" s="10">
        <v>1.24</v>
      </c>
      <c r="M36" s="10">
        <v>0.23</v>
      </c>
      <c r="N36" s="5">
        <f>M36*L36</f>
        <v>0.28520000000000001</v>
      </c>
      <c r="O36" s="10">
        <v>1.048</v>
      </c>
      <c r="P36" s="10"/>
      <c r="Q36" s="10"/>
      <c r="R36" s="10">
        <v>2.1150000000000002</v>
      </c>
      <c r="S36" s="13">
        <f>R36*O36</f>
        <v>2.2165200000000005</v>
      </c>
      <c r="T36" s="10">
        <f>S36+J36+N36</f>
        <v>3.1301210000000004</v>
      </c>
      <c r="U36" s="4">
        <f>T36/G36</f>
        <v>0.6863013623542078</v>
      </c>
      <c r="V36" s="9">
        <f>1-U36</f>
        <v>0.3136986376457922</v>
      </c>
    </row>
    <row r="37" spans="1:22" ht="30" x14ac:dyDescent="0.25">
      <c r="C37" s="5" t="s">
        <v>38</v>
      </c>
      <c r="D37" s="10">
        <v>1.05</v>
      </c>
      <c r="E37" s="10">
        <v>3.6930000000000001</v>
      </c>
      <c r="F37" s="10"/>
      <c r="G37" s="10">
        <f>D37*E37</f>
        <v>3.87765</v>
      </c>
      <c r="H37" s="10">
        <v>0.35299999999999998</v>
      </c>
      <c r="I37" s="10">
        <v>0.89900000000000002</v>
      </c>
      <c r="J37" s="10">
        <f>I37*H37</f>
        <v>0.31734699999999999</v>
      </c>
      <c r="K37" s="10"/>
      <c r="L37" s="10">
        <v>1.0620000000000001</v>
      </c>
      <c r="M37" s="10">
        <v>0.23</v>
      </c>
      <c r="N37" s="5">
        <f>M37*L37</f>
        <v>0.24426000000000003</v>
      </c>
      <c r="O37" s="10">
        <v>0.84599999999999997</v>
      </c>
      <c r="P37" s="10"/>
      <c r="Q37" s="10"/>
      <c r="R37" s="10">
        <v>1.302</v>
      </c>
      <c r="S37" s="13">
        <f>R37*O37</f>
        <v>1.1014919999999999</v>
      </c>
      <c r="T37" s="10">
        <f>S37+J37+N37</f>
        <v>1.6630989999999999</v>
      </c>
      <c r="U37" s="4">
        <f>T37/G37</f>
        <v>0.42889353087565918</v>
      </c>
      <c r="V37" s="9">
        <f>1-U37</f>
        <v>0.57110646912434082</v>
      </c>
    </row>
    <row r="38" spans="1:22" ht="30" x14ac:dyDescent="0.25">
      <c r="C38" s="5" t="s">
        <v>37</v>
      </c>
      <c r="D38" s="10">
        <v>1.05</v>
      </c>
      <c r="E38" s="10">
        <f>E37*E6/E5</f>
        <v>2.8356964285714286</v>
      </c>
      <c r="F38" s="10"/>
      <c r="G38" s="10">
        <f>D38*E38</f>
        <v>2.9774812500000003</v>
      </c>
      <c r="H38" s="10">
        <v>0.35299999999999998</v>
      </c>
      <c r="I38" s="10">
        <v>0.89900000000000002</v>
      </c>
      <c r="J38" s="10">
        <f>I38*H38</f>
        <v>0.31734699999999999</v>
      </c>
      <c r="K38" s="10"/>
      <c r="L38" s="10">
        <v>1.0620000000000001</v>
      </c>
      <c r="M38" s="10">
        <v>0.23</v>
      </c>
      <c r="N38" s="5">
        <f>M38*L38</f>
        <v>0.24426000000000003</v>
      </c>
      <c r="O38" s="10">
        <v>0.84599999999999997</v>
      </c>
      <c r="P38" s="10"/>
      <c r="Q38" s="10"/>
      <c r="R38" s="10">
        <v>1.302</v>
      </c>
      <c r="S38" s="13">
        <f>R38*O38</f>
        <v>1.1014919999999999</v>
      </c>
      <c r="T38" s="10">
        <f>S38+J38+N38</f>
        <v>1.6630989999999999</v>
      </c>
      <c r="U38" s="4">
        <f>T38/G38</f>
        <v>0.55855901695434684</v>
      </c>
      <c r="V38" s="9">
        <f>1-U38</f>
        <v>0.44144098304565316</v>
      </c>
    </row>
    <row r="39" spans="1:22" x14ac:dyDescent="0.25">
      <c r="C39" s="5" t="s">
        <v>40</v>
      </c>
      <c r="D39" s="10">
        <v>0.61799999999999999</v>
      </c>
      <c r="E39">
        <v>3.2930000000000001</v>
      </c>
      <c r="G39" s="10">
        <f>D39*E39</f>
        <v>2.0350740000000003</v>
      </c>
      <c r="H39" s="10">
        <v>0.32800000000000001</v>
      </c>
      <c r="I39" s="10">
        <v>0.79300000000000004</v>
      </c>
      <c r="J39" s="10">
        <f>I39*H39</f>
        <v>0.260104</v>
      </c>
      <c r="K39" s="10"/>
      <c r="L39" s="10">
        <v>0.62</v>
      </c>
      <c r="M39" s="10">
        <v>0.217</v>
      </c>
      <c r="N39" s="5">
        <f>M39*L39</f>
        <v>0.13453999999999999</v>
      </c>
      <c r="O39" s="10">
        <v>0.626</v>
      </c>
      <c r="P39" s="10"/>
      <c r="Q39" s="10"/>
      <c r="R39" s="10">
        <v>1.91</v>
      </c>
      <c r="S39" s="13">
        <f>R39*O39</f>
        <v>1.1956599999999999</v>
      </c>
      <c r="T39" s="10">
        <f>S39+J39+N39</f>
        <v>1.5903039999999997</v>
      </c>
      <c r="U39" s="4">
        <f>T39/G39</f>
        <v>0.78144775079431972</v>
      </c>
      <c r="V39" s="9">
        <f>1-U39</f>
        <v>0.21855224920568028</v>
      </c>
    </row>
    <row r="40" spans="1:22" ht="30" x14ac:dyDescent="0.25">
      <c r="C40" s="5" t="s">
        <v>30</v>
      </c>
      <c r="D40" s="10">
        <v>0.57999999999999996</v>
      </c>
      <c r="E40" s="10">
        <v>1.7709999999999999</v>
      </c>
      <c r="F40" s="10"/>
      <c r="G40" s="10">
        <f>D40*E40</f>
        <v>1.02718</v>
      </c>
      <c r="H40" s="10">
        <v>0.26</v>
      </c>
      <c r="I40" s="10">
        <v>1.08</v>
      </c>
      <c r="J40" s="10">
        <f>I40*H40</f>
        <v>0.28080000000000005</v>
      </c>
      <c r="K40" s="10"/>
      <c r="L40" s="10">
        <v>0.59699999999999998</v>
      </c>
      <c r="M40" s="10">
        <v>0.22700000000000001</v>
      </c>
      <c r="N40" s="5">
        <f>M40*L40</f>
        <v>0.135519</v>
      </c>
      <c r="S40" s="13">
        <f>G47</f>
        <v>0.47525400000000001</v>
      </c>
      <c r="T40" s="10">
        <f>S40+J40+N40</f>
        <v>0.89157299999999995</v>
      </c>
      <c r="U40" s="4">
        <f>T40/G40</f>
        <v>0.86798126910570683</v>
      </c>
      <c r="V40" s="9">
        <f>1-U40</f>
        <v>0.13201873089429317</v>
      </c>
    </row>
    <row r="44" spans="1:22" ht="30" x14ac:dyDescent="0.25">
      <c r="C44" s="5" t="s">
        <v>30</v>
      </c>
      <c r="D44" t="s">
        <v>41</v>
      </c>
    </row>
    <row r="45" spans="1:22" x14ac:dyDescent="0.25">
      <c r="D45">
        <v>0.58799999999999997</v>
      </c>
      <c r="E45">
        <v>0.67900000000000005</v>
      </c>
      <c r="G45">
        <f>E45*D45</f>
        <v>0.399252</v>
      </c>
    </row>
    <row r="46" spans="1:22" x14ac:dyDescent="0.25">
      <c r="D46">
        <v>0.318</v>
      </c>
      <c r="E46">
        <v>0.23899999999999999</v>
      </c>
      <c r="G46">
        <f>E46*D46</f>
        <v>7.6002E-2</v>
      </c>
    </row>
    <row r="47" spans="1:22" x14ac:dyDescent="0.25">
      <c r="E47" t="s">
        <v>27</v>
      </c>
      <c r="G47">
        <f>G46+G45</f>
        <v>0.47525400000000001</v>
      </c>
    </row>
    <row r="51" spans="4:7" x14ac:dyDescent="0.25">
      <c r="D51" t="s">
        <v>199</v>
      </c>
      <c r="E51">
        <f xml:space="preserve"> 1/3.2808</f>
        <v>0.30480370641306997</v>
      </c>
      <c r="G51">
        <f>9.6/ft2m</f>
        <v>31.49568</v>
      </c>
    </row>
  </sheetData>
  <mergeCells count="10">
    <mergeCell ref="S1:X1"/>
    <mergeCell ref="D2:F2"/>
    <mergeCell ref="V2:W2"/>
    <mergeCell ref="T2:U2"/>
    <mergeCell ref="G2:M2"/>
    <mergeCell ref="D34:G34"/>
    <mergeCell ref="H34:J34"/>
    <mergeCell ref="O34:S34"/>
    <mergeCell ref="H33:T33"/>
    <mergeCell ref="N2:R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25"/>
  <sheetViews>
    <sheetView workbookViewId="0">
      <selection activeCell="H15" sqref="H15"/>
    </sheetView>
  </sheetViews>
  <sheetFormatPr defaultRowHeight="15" x14ac:dyDescent="0.25"/>
  <cols>
    <col min="5" max="5" width="13.5703125" style="5" customWidth="1"/>
    <col min="6" max="6" width="11.140625" customWidth="1"/>
  </cols>
  <sheetData>
    <row r="3" spans="1:25" x14ac:dyDescent="0.25">
      <c r="X3" t="s">
        <v>213</v>
      </c>
      <c r="Y3">
        <f>1/0.09290304</f>
        <v>10.763910416709722</v>
      </c>
    </row>
    <row r="5" spans="1:25" x14ac:dyDescent="0.25">
      <c r="H5" t="s">
        <v>203</v>
      </c>
      <c r="M5" t="s">
        <v>205</v>
      </c>
      <c r="R5" t="s">
        <v>211</v>
      </c>
      <c r="U5" t="s">
        <v>210</v>
      </c>
      <c r="W5" t="s">
        <v>4</v>
      </c>
    </row>
    <row r="6" spans="1:25" x14ac:dyDescent="0.25">
      <c r="G6" s="47" t="s">
        <v>55</v>
      </c>
      <c r="H6" s="47"/>
      <c r="I6" s="47"/>
      <c r="J6" s="47" t="s">
        <v>204</v>
      </c>
      <c r="K6" s="47"/>
      <c r="L6" s="47" t="s">
        <v>55</v>
      </c>
      <c r="M6" s="47"/>
      <c r="N6" s="47"/>
      <c r="O6" s="47" t="s">
        <v>204</v>
      </c>
      <c r="P6" s="47"/>
      <c r="R6" t="s">
        <v>207</v>
      </c>
      <c r="S6" t="s">
        <v>208</v>
      </c>
      <c r="T6" t="s">
        <v>209</v>
      </c>
      <c r="U6" t="s">
        <v>22</v>
      </c>
      <c r="V6" t="s">
        <v>212</v>
      </c>
    </row>
    <row r="7" spans="1:25" x14ac:dyDescent="0.25">
      <c r="A7" t="s">
        <v>157</v>
      </c>
      <c r="G7" t="s">
        <v>9</v>
      </c>
      <c r="H7" t="s">
        <v>12</v>
      </c>
      <c r="I7" t="s">
        <v>9</v>
      </c>
      <c r="J7" t="s">
        <v>12</v>
      </c>
      <c r="K7" t="s">
        <v>9</v>
      </c>
      <c r="L7" t="s">
        <v>9</v>
      </c>
      <c r="M7" t="s">
        <v>12</v>
      </c>
      <c r="N7" t="s">
        <v>9</v>
      </c>
      <c r="O7" t="s">
        <v>12</v>
      </c>
      <c r="P7" t="s">
        <v>9</v>
      </c>
      <c r="Q7" t="s">
        <v>206</v>
      </c>
    </row>
    <row r="8" spans="1:25" x14ac:dyDescent="0.25">
      <c r="F8" s="1" t="s">
        <v>36</v>
      </c>
      <c r="G8">
        <v>14.4</v>
      </c>
      <c r="H8">
        <v>4.5</v>
      </c>
      <c r="I8">
        <v>9.4</v>
      </c>
      <c r="J8">
        <v>3.1</v>
      </c>
      <c r="K8">
        <v>3.3</v>
      </c>
      <c r="L8">
        <v>28</v>
      </c>
      <c r="M8" s="10">
        <f t="shared" ref="M8:P11" si="0">H8*$Q8</f>
        <v>8.75</v>
      </c>
      <c r="N8" s="10">
        <f t="shared" si="0"/>
        <v>18.277777777777779</v>
      </c>
      <c r="O8" s="10">
        <f t="shared" si="0"/>
        <v>6.0277777777777777</v>
      </c>
      <c r="P8" s="10">
        <f t="shared" si="0"/>
        <v>6.4166666666666661</v>
      </c>
      <c r="Q8">
        <f>L8/G8</f>
        <v>1.9444444444444444</v>
      </c>
      <c r="R8" s="3">
        <f>(M8*N8)-(P8*O8)</f>
        <v>121.25231481481484</v>
      </c>
      <c r="S8" s="3">
        <f>N8*M8</f>
        <v>159.93055555555557</v>
      </c>
      <c r="T8" s="3"/>
      <c r="U8" s="3">
        <f>T8+S8+R8</f>
        <v>281.18287037037044</v>
      </c>
      <c r="V8" s="3">
        <f>U8*sqm2sqft</f>
        <v>3026.62722737997</v>
      </c>
      <c r="W8" t="s">
        <v>215</v>
      </c>
    </row>
    <row r="9" spans="1:25" x14ac:dyDescent="0.25">
      <c r="F9" s="1" t="s">
        <v>216</v>
      </c>
      <c r="G9">
        <v>14.4</v>
      </c>
      <c r="H9">
        <v>3.8</v>
      </c>
      <c r="I9">
        <v>5.8</v>
      </c>
      <c r="J9">
        <v>1.55</v>
      </c>
      <c r="K9">
        <v>3.05</v>
      </c>
      <c r="L9">
        <v>28</v>
      </c>
      <c r="M9" s="10">
        <f t="shared" si="0"/>
        <v>7.3888888888888884</v>
      </c>
      <c r="N9" s="10">
        <f t="shared" si="0"/>
        <v>11.277777777777777</v>
      </c>
      <c r="O9" s="10">
        <f t="shared" si="0"/>
        <v>3.0138888888888888</v>
      </c>
      <c r="P9" s="10">
        <f t="shared" si="0"/>
        <v>5.9305555555555554</v>
      </c>
      <c r="Q9">
        <f>L9/G9</f>
        <v>1.9444444444444444</v>
      </c>
      <c r="R9" s="3">
        <f>(M9*N9)-(P9*O9)</f>
        <v>65.456211419753089</v>
      </c>
      <c r="S9" s="3">
        <f>N9*M9</f>
        <v>83.33024691358024</v>
      </c>
      <c r="T9" s="3"/>
      <c r="U9" s="3">
        <f>T9+S9+R9</f>
        <v>148.78645833333331</v>
      </c>
      <c r="V9" s="3">
        <f>U9*sqm2sqft</f>
        <v>1601.5241087195134</v>
      </c>
      <c r="W9" t="s">
        <v>215</v>
      </c>
    </row>
    <row r="10" spans="1:25" x14ac:dyDescent="0.25">
      <c r="F10" s="1" t="s">
        <v>40</v>
      </c>
      <c r="G10">
        <v>12.8</v>
      </c>
      <c r="H10">
        <v>2.8</v>
      </c>
      <c r="I10">
        <v>8.5</v>
      </c>
      <c r="J10">
        <v>1.55</v>
      </c>
      <c r="K10">
        <v>2.85</v>
      </c>
      <c r="L10">
        <v>28</v>
      </c>
      <c r="M10" s="10">
        <f t="shared" si="0"/>
        <v>6.125</v>
      </c>
      <c r="N10" s="10">
        <f t="shared" si="0"/>
        <v>18.59375</v>
      </c>
      <c r="O10" s="10">
        <f t="shared" si="0"/>
        <v>3.390625</v>
      </c>
      <c r="P10" s="10">
        <f t="shared" si="0"/>
        <v>6.234375</v>
      </c>
      <c r="Q10">
        <f>L10/G10</f>
        <v>2.1875</v>
      </c>
      <c r="R10" s="3">
        <f>(M10*N10)-(P10*O10)</f>
        <v>92.748291015625</v>
      </c>
      <c r="S10" s="3">
        <f>N10*M10</f>
        <v>113.88671875</v>
      </c>
      <c r="T10" s="3"/>
      <c r="U10" s="3">
        <f>T10+S10+R10</f>
        <v>206.635009765625</v>
      </c>
      <c r="V10" s="3">
        <f>U10*sqm2sqft</f>
        <v>2224.2007340731261</v>
      </c>
      <c r="W10" t="s">
        <v>215</v>
      </c>
    </row>
    <row r="11" spans="1:25" x14ac:dyDescent="0.25">
      <c r="F11" s="1" t="s">
        <v>30</v>
      </c>
      <c r="G11">
        <v>18.55</v>
      </c>
      <c r="H11">
        <v>4.2</v>
      </c>
      <c r="I11">
        <v>5.0999999999999996</v>
      </c>
      <c r="J11">
        <v>1.9</v>
      </c>
      <c r="K11">
        <v>3.5</v>
      </c>
      <c r="L11">
        <v>28</v>
      </c>
      <c r="M11" s="10">
        <f t="shared" si="0"/>
        <v>6.3396226415094334</v>
      </c>
      <c r="N11" s="10">
        <f t="shared" si="0"/>
        <v>7.698113207547169</v>
      </c>
      <c r="O11" s="10">
        <f t="shared" si="0"/>
        <v>2.8679245283018866</v>
      </c>
      <c r="P11" s="10">
        <f t="shared" si="0"/>
        <v>5.283018867924528</v>
      </c>
      <c r="Q11">
        <f>L11/G11</f>
        <v>1.5094339622641508</v>
      </c>
      <c r="R11" s="3">
        <f>(M11*N11)-(P11*O11)</f>
        <v>33.651833392666418</v>
      </c>
      <c r="S11" s="3">
        <f>N11*M11</f>
        <v>48.80313278746884</v>
      </c>
      <c r="T11" s="3">
        <f>S11</f>
        <v>48.80313278746884</v>
      </c>
      <c r="U11" s="3">
        <f>T11+S11+R11</f>
        <v>131.2580989676041</v>
      </c>
      <c r="V11" s="3">
        <f>U11*sqm2sqft</f>
        <v>1412.8504187549092</v>
      </c>
      <c r="W11" t="s">
        <v>214</v>
      </c>
    </row>
    <row r="12" spans="1:25" x14ac:dyDescent="0.25">
      <c r="A12" t="s">
        <v>11</v>
      </c>
    </row>
    <row r="13" spans="1:25" x14ac:dyDescent="0.25">
      <c r="E13" s="1" t="s">
        <v>186</v>
      </c>
      <c r="F13" s="5" t="s">
        <v>194</v>
      </c>
      <c r="R13" s="3">
        <f>9.5*19</f>
        <v>180.5</v>
      </c>
      <c r="U13" s="3">
        <f>R13</f>
        <v>180.5</v>
      </c>
      <c r="V13" s="3">
        <f>U13*sqm2sqft</f>
        <v>1942.8858302161048</v>
      </c>
      <c r="W13" t="s">
        <v>217</v>
      </c>
    </row>
    <row r="14" spans="1:25" x14ac:dyDescent="0.25">
      <c r="E14" s="1" t="s">
        <v>187</v>
      </c>
      <c r="F14" s="5" t="s">
        <v>194</v>
      </c>
      <c r="R14">
        <f>18*11</f>
        <v>198</v>
      </c>
      <c r="U14" s="3">
        <f>R14</f>
        <v>198</v>
      </c>
      <c r="V14" s="3">
        <f>U14*sqm2sqft</f>
        <v>2131.2542625085248</v>
      </c>
      <c r="W14" t="s">
        <v>217</v>
      </c>
    </row>
    <row r="15" spans="1:25" x14ac:dyDescent="0.25">
      <c r="E15" s="1" t="s">
        <v>221</v>
      </c>
      <c r="F15" s="5" t="s">
        <v>194</v>
      </c>
      <c r="R15" s="3">
        <f>U15/2</f>
        <v>116.1288</v>
      </c>
      <c r="S15" s="3">
        <f>U15/2</f>
        <v>116.1288</v>
      </c>
      <c r="U15" s="3">
        <f>V15/sqm2sqft</f>
        <v>232.2576</v>
      </c>
      <c r="V15" s="3">
        <v>2500</v>
      </c>
      <c r="W15" t="s">
        <v>218</v>
      </c>
    </row>
    <row r="16" spans="1:25" ht="30" x14ac:dyDescent="0.25">
      <c r="E16" s="39" t="s">
        <v>188</v>
      </c>
      <c r="F16" s="34" t="s">
        <v>195</v>
      </c>
      <c r="R16">
        <v>70</v>
      </c>
      <c r="S16">
        <v>70</v>
      </c>
      <c r="U16" s="3">
        <f>T16+S16+R16</f>
        <v>140</v>
      </c>
      <c r="V16" s="3">
        <f>U16*sqm2sqft</f>
        <v>1506.947458339361</v>
      </c>
    </row>
    <row r="17" spans="1:23" ht="30" x14ac:dyDescent="0.25">
      <c r="E17" s="1" t="s">
        <v>189</v>
      </c>
      <c r="F17" s="5" t="s">
        <v>40</v>
      </c>
      <c r="R17">
        <v>72</v>
      </c>
      <c r="S17">
        <v>72</v>
      </c>
      <c r="U17" s="3">
        <f>T17+S17+R17</f>
        <v>144</v>
      </c>
      <c r="V17" s="3">
        <f>U17*sqm2sqft</f>
        <v>1550.0031000061999</v>
      </c>
    </row>
    <row r="18" spans="1:23" x14ac:dyDescent="0.25">
      <c r="A18" t="s">
        <v>222</v>
      </c>
      <c r="E18" s="1"/>
      <c r="F18" s="5"/>
    </row>
    <row r="19" spans="1:23" x14ac:dyDescent="0.25">
      <c r="E19" s="1" t="s">
        <v>190</v>
      </c>
      <c r="F19" s="5" t="s">
        <v>194</v>
      </c>
      <c r="O19">
        <v>6</v>
      </c>
      <c r="P19">
        <v>6</v>
      </c>
      <c r="R19">
        <f>271-(P19*O19)</f>
        <v>235</v>
      </c>
      <c r="S19">
        <f>217*0.9</f>
        <v>195.3</v>
      </c>
      <c r="U19" s="3">
        <f>T19+S19+R19</f>
        <v>430.3</v>
      </c>
      <c r="V19" s="3">
        <f>U19*sqm2sqft</f>
        <v>4631.7106523101938</v>
      </c>
      <c r="W19" t="s">
        <v>218</v>
      </c>
    </row>
    <row r="20" spans="1:23" x14ac:dyDescent="0.25">
      <c r="E20" s="1" t="s">
        <v>191</v>
      </c>
      <c r="F20" s="5" t="s">
        <v>196</v>
      </c>
      <c r="M20">
        <v>7</v>
      </c>
      <c r="N20">
        <v>9</v>
      </c>
      <c r="O20">
        <v>4.5</v>
      </c>
      <c r="P20">
        <v>6</v>
      </c>
      <c r="R20">
        <f>(M20*N20)-(O20*P20)</f>
        <v>36</v>
      </c>
      <c r="S20">
        <f>M20*N20</f>
        <v>63</v>
      </c>
      <c r="U20" s="3">
        <f>T20+S20+R20</f>
        <v>99</v>
      </c>
      <c r="V20" s="3">
        <f>U20*sqm2sqft</f>
        <v>1065.6271312542624</v>
      </c>
      <c r="W20" t="s">
        <v>218</v>
      </c>
    </row>
    <row r="23" spans="1:23" x14ac:dyDescent="0.25">
      <c r="H23" t="s">
        <v>35</v>
      </c>
      <c r="J23" t="s">
        <v>246</v>
      </c>
    </row>
    <row r="24" spans="1:23" x14ac:dyDescent="0.25">
      <c r="H24" t="s">
        <v>17</v>
      </c>
      <c r="I24" t="s">
        <v>9</v>
      </c>
      <c r="M24" t="s">
        <v>7</v>
      </c>
    </row>
    <row r="25" spans="1:23" x14ac:dyDescent="0.25">
      <c r="F25" s="1" t="s">
        <v>36</v>
      </c>
      <c r="G25">
        <v>13.3</v>
      </c>
      <c r="H25">
        <v>4.2</v>
      </c>
      <c r="I25">
        <v>8.6999999999999993</v>
      </c>
      <c r="L25">
        <v>28</v>
      </c>
      <c r="M25" s="10">
        <f>I25*H25*Q25</f>
        <v>76.926315789473676</v>
      </c>
      <c r="N25" s="10"/>
      <c r="O25" s="10"/>
      <c r="P25" s="10"/>
      <c r="Q25">
        <f>L25/G25</f>
        <v>2.1052631578947367</v>
      </c>
      <c r="R25" s="3">
        <f>(M25*N25)-(P25*O25)</f>
        <v>0</v>
      </c>
      <c r="S25" s="3">
        <f>N25*M25</f>
        <v>0</v>
      </c>
      <c r="T25" s="3"/>
      <c r="U25" s="3">
        <f>T25+S25+R25</f>
        <v>0</v>
      </c>
      <c r="V25" s="3">
        <f>U25*sqm2sqft</f>
        <v>0</v>
      </c>
      <c r="W25" t="s">
        <v>215</v>
      </c>
    </row>
  </sheetData>
  <mergeCells count="4">
    <mergeCell ref="G6:I6"/>
    <mergeCell ref="J6:K6"/>
    <mergeCell ref="L6:N6"/>
    <mergeCell ref="O6:P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3"/>
  <sheetViews>
    <sheetView tabSelected="1" workbookViewId="0"/>
  </sheetViews>
  <sheetFormatPr defaultRowHeight="15" x14ac:dyDescent="0.25"/>
  <cols>
    <col min="3" max="3" width="13.85546875" bestFit="1" customWidth="1"/>
    <col min="4" max="4" width="11.85546875" bestFit="1" customWidth="1"/>
    <col min="6" max="6" width="11.85546875" bestFit="1" customWidth="1"/>
  </cols>
  <sheetData>
    <row r="2" spans="3:9" ht="18.75" x14ac:dyDescent="0.3">
      <c r="C2" s="32" t="s">
        <v>183</v>
      </c>
    </row>
    <row r="3" spans="3:9" x14ac:dyDescent="0.25">
      <c r="C3" s="7"/>
      <c r="D3" s="26"/>
      <c r="E3" s="50" t="s">
        <v>163</v>
      </c>
      <c r="F3" s="50"/>
      <c r="G3" s="50"/>
      <c r="H3" s="50"/>
      <c r="I3" s="29"/>
    </row>
    <row r="4" spans="3:9" ht="45" x14ac:dyDescent="0.25">
      <c r="C4" s="7" t="s">
        <v>158</v>
      </c>
      <c r="D4" s="27" t="s">
        <v>21</v>
      </c>
      <c r="E4" s="24" t="s">
        <v>177</v>
      </c>
      <c r="F4" s="25" t="s">
        <v>181</v>
      </c>
      <c r="G4" s="24" t="s">
        <v>159</v>
      </c>
      <c r="H4" s="24" t="s">
        <v>168</v>
      </c>
      <c r="I4" s="30" t="s">
        <v>179</v>
      </c>
    </row>
    <row r="5" spans="3:9" x14ac:dyDescent="0.25">
      <c r="C5" s="7" t="s">
        <v>11</v>
      </c>
      <c r="D5" s="28" t="s">
        <v>160</v>
      </c>
      <c r="E5" s="23" t="s">
        <v>171</v>
      </c>
      <c r="F5" s="22" t="s">
        <v>182</v>
      </c>
      <c r="G5" s="23" t="s">
        <v>172</v>
      </c>
      <c r="H5" s="23" t="s">
        <v>176</v>
      </c>
      <c r="I5" s="31" t="s">
        <v>180</v>
      </c>
    </row>
    <row r="6" spans="3:9" ht="30" x14ac:dyDescent="0.25">
      <c r="C6" s="7" t="s">
        <v>15</v>
      </c>
      <c r="D6" s="28" t="s">
        <v>161</v>
      </c>
      <c r="E6" s="23" t="s">
        <v>171</v>
      </c>
      <c r="F6" s="22" t="s">
        <v>167</v>
      </c>
      <c r="G6" s="23" t="s">
        <v>173</v>
      </c>
      <c r="H6" s="23" t="s">
        <v>175</v>
      </c>
      <c r="I6" s="31" t="s">
        <v>178</v>
      </c>
    </row>
    <row r="7" spans="3:9" x14ac:dyDescent="0.25">
      <c r="C7" s="7" t="s">
        <v>157</v>
      </c>
      <c r="D7" s="28" t="s">
        <v>162</v>
      </c>
      <c r="E7" s="23" t="s">
        <v>164</v>
      </c>
      <c r="F7" s="22" t="s">
        <v>166</v>
      </c>
      <c r="G7" s="23" t="s">
        <v>165</v>
      </c>
      <c r="H7" s="23" t="s">
        <v>169</v>
      </c>
      <c r="I7" s="31" t="s">
        <v>170</v>
      </c>
    </row>
    <row r="9" spans="3:9" x14ac:dyDescent="0.25">
      <c r="C9" s="6"/>
    </row>
    <row r="10" spans="3:9" x14ac:dyDescent="0.25">
      <c r="C10" s="6"/>
    </row>
    <row r="11" spans="3:9" x14ac:dyDescent="0.25">
      <c r="C11" s="6"/>
    </row>
    <row r="12" spans="3:9" x14ac:dyDescent="0.25">
      <c r="C12" s="6"/>
    </row>
    <row r="13" spans="3:9" x14ac:dyDescent="0.25">
      <c r="C13" s="6"/>
    </row>
  </sheetData>
  <mergeCells count="1">
    <mergeCell ref="E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BvrBrk Density</vt:lpstr>
      <vt:lpstr> Camp Lands Density</vt:lpstr>
      <vt:lpstr>Yard Size Compare</vt:lpstr>
      <vt:lpstr>Size Compare</vt:lpstr>
      <vt:lpstr>Setbacks</vt:lpstr>
      <vt:lpstr>Interior dimensions</vt:lpstr>
      <vt:lpstr>Setback summary</vt:lpstr>
      <vt:lpstr>dwellings</vt:lpstr>
      <vt:lpstr>ft2m</vt:lpstr>
      <vt:lpstr>Hct2Acr</vt:lpstr>
      <vt:lpstr>Hct2sqm</vt:lpstr>
      <vt:lpstr>KLForDensity</vt:lpstr>
      <vt:lpstr>sqm2sqft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J. Thomson</dc:creator>
  <cp:lastModifiedBy>Neil J. Thomson</cp:lastModifiedBy>
  <dcterms:created xsi:type="dcterms:W3CDTF">2019-11-21T21:54:59Z</dcterms:created>
  <dcterms:modified xsi:type="dcterms:W3CDTF">2020-09-13T22:29:37Z</dcterms:modified>
</cp:coreProperties>
</file>